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" windowWidth="15480" windowHeight="9780" activeTab="6"/>
  </bookViews>
  <sheets>
    <sheet name="Chart6" sheetId="1" r:id="rId1"/>
    <sheet name="Chart5" sheetId="2" r:id="rId2"/>
    <sheet name="Chart4" sheetId="3" r:id="rId3"/>
    <sheet name="Chart3" sheetId="4" r:id="rId4"/>
    <sheet name="Chart2" sheetId="5" r:id="rId5"/>
    <sheet name="Chart1" sheetId="6" r:id="rId6"/>
    <sheet name="Basic Formula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<sst xmlns="http://schemas.openxmlformats.org/spreadsheetml/2006/main" count="271" uniqueCount="186">
  <si>
    <t>YEAR</t>
  </si>
  <si>
    <t>POPULATION</t>
  </si>
  <si>
    <t>GENERAL PROPERTY TAXES</t>
  </si>
  <si>
    <t>TAX INCREMENTS</t>
  </si>
  <si>
    <t>IN LIEU OF TAXES</t>
  </si>
  <si>
    <t>TOTAL TAXES</t>
  </si>
  <si>
    <t>SPECIAL ASSESSMENTS</t>
  </si>
  <si>
    <t>FEDERAL AIDS</t>
  </si>
  <si>
    <t>STATE SHARED REVENUES</t>
  </si>
  <si>
    <t>STATE HIGHWAY AIDS</t>
  </si>
  <si>
    <t>ALL OTHER STATE AIDS</t>
  </si>
  <si>
    <t>OTHER LOCAL GOVERNMENT AIDS</t>
  </si>
  <si>
    <t>TOTAL INTERGOVERNMENTAL REV.</t>
  </si>
  <si>
    <t>LICENSES AND PERMITS</t>
  </si>
  <si>
    <t>FINES, FORFEIT AND PENALTIES</t>
  </si>
  <si>
    <t>PUBLIC CHG FOR SERVICES</t>
  </si>
  <si>
    <t>INTERG. CHG. FOR SERVICES</t>
  </si>
  <si>
    <t>INTEREST INCOME</t>
  </si>
  <si>
    <t>OTHER REVENUES</t>
  </si>
  <si>
    <t>TOTAL MISCELLANEOUS REVENUES</t>
  </si>
  <si>
    <t>GENERAL REVENUES SUBTOTAL</t>
  </si>
  <si>
    <t>OTHER FINANCING SOURCES</t>
  </si>
  <si>
    <t>TOTAL REVENUE AND OTHER FINANCING SOURCES</t>
  </si>
  <si>
    <t>GENERAL GOVERNMENT</t>
  </si>
  <si>
    <t>LAW ENFORCEMENT</t>
  </si>
  <si>
    <t>FIRE</t>
  </si>
  <si>
    <t>AMBULANCE</t>
  </si>
  <si>
    <t>OTHER PUBLIC SAFETY</t>
  </si>
  <si>
    <t>HIGHWAY MAINTENANCE AND ADM.</t>
  </si>
  <si>
    <t>HIGHWAY CONSTRUCTION</t>
  </si>
  <si>
    <t>ROAD-RELATED FACILITIES</t>
  </si>
  <si>
    <t>OTHER TRANSPORTATION</t>
  </si>
  <si>
    <t>SOLID WASTE COLL AND DISPOSAL</t>
  </si>
  <si>
    <t>OTHER SANITATION</t>
  </si>
  <si>
    <t>HEALTH AND HUMAN SERVICES</t>
  </si>
  <si>
    <t>CULTURE AND EDUCATION</t>
  </si>
  <si>
    <t>PARKS AND RECREATION</t>
  </si>
  <si>
    <t>CONSERVATION AND DEVELOPMENT</t>
  </si>
  <si>
    <t>ALL OTHER EXPENDITURES</t>
  </si>
  <si>
    <t>OPERATING AND CAPITAL EXPENDITURES SUBTOTAL</t>
  </si>
  <si>
    <t>PRINCIPAL</t>
  </si>
  <si>
    <t>INTEREST AND FISCAL CHARGES</t>
  </si>
  <si>
    <t>TOTAL DEBT SERVICE</t>
  </si>
  <si>
    <t>EXPENDITURES SUBTOTAL</t>
  </si>
  <si>
    <t>OTHER FINANCING USES</t>
  </si>
  <si>
    <t>TOTAL EXPENDITURES AND OTHER FINANCING USES</t>
  </si>
  <si>
    <t>TOTAL GENERAL OBLIGATION DEBT</t>
  </si>
  <si>
    <t>PROPRIETARY FUND TYPES: REVENUES</t>
  </si>
  <si>
    <t>PROPRIETARY FUND TYPES: EXPENSES</t>
  </si>
  <si>
    <t>RESIDENTIAL LAND</t>
  </si>
  <si>
    <t>RESIDENTIAL IMPS</t>
  </si>
  <si>
    <t>COMMERCIAL LAND</t>
  </si>
  <si>
    <t>COMMERCIAL IMPS</t>
  </si>
  <si>
    <t>MANUFACTURING LAND</t>
  </si>
  <si>
    <t>MANUFACTURING IMPS</t>
  </si>
  <si>
    <t>AGRICULTURAL LAND</t>
  </si>
  <si>
    <t>AGRCULTURAL IMPS</t>
  </si>
  <si>
    <t>OTHER LAND</t>
  </si>
  <si>
    <t>OTHER IMPS</t>
  </si>
  <si>
    <t>EVA-BOATS</t>
  </si>
  <si>
    <t>SAM BOATS</t>
  </si>
  <si>
    <t>EVA-MACHINERY</t>
  </si>
  <si>
    <t>SAM MACHINERY</t>
  </si>
  <si>
    <t>EVA-FURNITURE</t>
  </si>
  <si>
    <t>SAM FURNITURE</t>
  </si>
  <si>
    <t>EVA-OTHER</t>
  </si>
  <si>
    <t>SAM OTHER</t>
  </si>
  <si>
    <t>FULL VALUE</t>
  </si>
  <si>
    <t>PERCENT ASSESSMENT LEVEL</t>
  </si>
  <si>
    <t>FULL VALUE EXCLUDING TIF</t>
  </si>
  <si>
    <t>TIF DISTRICT</t>
  </si>
  <si>
    <t>TOTAL PROPERTY TAX</t>
  </si>
  <si>
    <t>STATE PROPERTY TAX CREDIT</t>
  </si>
  <si>
    <t>GROSS FULL VALUE RATE</t>
  </si>
  <si>
    <t>EFFECTIVE FULL VALUE RATE</t>
  </si>
  <si>
    <t>COUNTY TAX</t>
  </si>
  <si>
    <t>LOCAL TAX</t>
  </si>
  <si>
    <t>Hypothetical House</t>
  </si>
  <si>
    <t>Total Property Tax (before tax credits)</t>
  </si>
  <si>
    <t>ELEMENTARY/SECONDARY SCHOOL DISTRICT TAXES</t>
  </si>
  <si>
    <t>TECH COLLEGE SCHOOL DISTRICT TAXES</t>
  </si>
  <si>
    <t>SCHOOL DISTRICT TAX</t>
  </si>
  <si>
    <t>TECH COLLEGE DISTRICT TAX</t>
  </si>
  <si>
    <t>Enter annual estimated % increase in house value.   Leave blank if you want to use Consumer Price Index.</t>
  </si>
  <si>
    <t>Consumer Price Index</t>
  </si>
  <si>
    <t>Initial House Value</t>
  </si>
  <si>
    <t>Local Levy</t>
  </si>
  <si>
    <t>Total Levy</t>
  </si>
  <si>
    <t>OTHER REVENUE TAXES</t>
  </si>
  <si>
    <t>WETLANDS (SWAMP AND WASTE)</t>
  </si>
  <si>
    <t>FORESTS</t>
  </si>
  <si>
    <t>OTHER PROPERTY TAXES</t>
  </si>
  <si>
    <t>Annual % Increase</t>
  </si>
  <si>
    <t>Annual increase in property valuation</t>
  </si>
  <si>
    <t>OTHER  PROPERTY TAXES</t>
  </si>
  <si>
    <t>Local Tax</t>
  </si>
  <si>
    <t>County Tax</t>
  </si>
  <si>
    <t>School Tax</t>
  </si>
  <si>
    <t>Other Tax</t>
  </si>
  <si>
    <t>VoTech Tax</t>
  </si>
  <si>
    <t>Total Expenses</t>
  </si>
  <si>
    <t>SHARE OF TOTAL PROPERTY TAX CHANGE</t>
  </si>
  <si>
    <t>TOTAL PERSONAL PROPERTY</t>
  </si>
  <si>
    <t>Change</t>
  </si>
  <si>
    <t>% Growth</t>
  </si>
  <si>
    <t>Total Change in Assessed Value</t>
  </si>
  <si>
    <t>1990 Dist</t>
  </si>
  <si>
    <t>2001 Dist</t>
  </si>
  <si>
    <t>1991 Dist</t>
  </si>
  <si>
    <t>1992 Dist</t>
  </si>
  <si>
    <t>1993 Dist</t>
  </si>
  <si>
    <t>1994 Dist</t>
  </si>
  <si>
    <t>1995 Dist</t>
  </si>
  <si>
    <t>1996 Dist</t>
  </si>
  <si>
    <t>1997 Dist</t>
  </si>
  <si>
    <t>1998 Dist</t>
  </si>
  <si>
    <t>1999 Dist</t>
  </si>
  <si>
    <t>2000 Dist</t>
  </si>
  <si>
    <t>Share of Chg</t>
  </si>
  <si>
    <t>RESIDENTIAL</t>
  </si>
  <si>
    <t>COMMERCIAL</t>
  </si>
  <si>
    <t>MANUFACTURING</t>
  </si>
  <si>
    <t>AGRICULTURAL</t>
  </si>
  <si>
    <t>OTHER</t>
  </si>
  <si>
    <t>PERSONAL</t>
  </si>
  <si>
    <t>2002 Dist</t>
  </si>
  <si>
    <t>1990 Distribution</t>
  </si>
  <si>
    <t>1991 Distribution</t>
  </si>
  <si>
    <t>1992 Distribution</t>
  </si>
  <si>
    <t>1993 Distribution</t>
  </si>
  <si>
    <t>1994 Distribution</t>
  </si>
  <si>
    <t>1995 Distribution</t>
  </si>
  <si>
    <t>1996 Distribution</t>
  </si>
  <si>
    <t>1997 Distribution</t>
  </si>
  <si>
    <t>1998 Distribution</t>
  </si>
  <si>
    <t>1999 Distribution</t>
  </si>
  <si>
    <t>2000 Distribution</t>
  </si>
  <si>
    <t>2001 Distribution</t>
  </si>
  <si>
    <t>2002 Distribution</t>
  </si>
  <si>
    <t>Distribution Chg</t>
  </si>
  <si>
    <t>State property tax credit change</t>
  </si>
  <si>
    <t>SD</t>
  </si>
  <si>
    <t>Total Property Tax Standard Deviation</t>
  </si>
  <si>
    <t>AGRICULTURAL FOREST LAND</t>
  </si>
  <si>
    <t>2003 Distribution</t>
  </si>
  <si>
    <t>2003 Dist</t>
  </si>
  <si>
    <t>annual rate</t>
  </si>
  <si>
    <t>=</t>
  </si>
  <si>
    <t>Total Value</t>
  </si>
  <si>
    <t>Your Property Tax =</t>
  </si>
  <si>
    <t>Your Property Value =</t>
  </si>
  <si>
    <t>per $1,000 of assessed value</t>
  </si>
  <si>
    <t>X %</t>
  </si>
  <si>
    <t>Change =</t>
  </si>
  <si>
    <t>Local</t>
  </si>
  <si>
    <t>+  School</t>
  </si>
  <si>
    <t>+  County</t>
  </si>
  <si>
    <t>+  VoTech</t>
  </si>
  <si>
    <t>+  Other</t>
  </si>
  <si>
    <t>Tax Rate</t>
  </si>
  <si>
    <t>Total Levy = (local tax + school tax + county tax + VoTech tax + other special taxes or assessments) - state property tax credit</t>
  </si>
  <si>
    <t>Tax Rate   =   (Total Levy) / (Total Assessed Value)</t>
  </si>
  <si>
    <t xml:space="preserve"> -  Credit</t>
  </si>
  <si>
    <t>Sum of Revenues Other Than Local Property Tax</t>
  </si>
  <si>
    <t>Base Line</t>
  </si>
  <si>
    <t>TEXT</t>
  </si>
  <si>
    <t>Total Expenditures minus Nonlevy Revenues</t>
  </si>
  <si>
    <t>Total Local Levy</t>
  </si>
  <si>
    <t>Excess (+) / Deficiency (-)</t>
  </si>
  <si>
    <t>Correlation between Local tax on property and nonlevy revenues</t>
  </si>
  <si>
    <t>Correlation between Local tax on property and</t>
  </si>
  <si>
    <t xml:space="preserve">Correlation between Local tax on property and </t>
  </si>
  <si>
    <t>Tax Base</t>
  </si>
  <si>
    <t>Total expenditures</t>
  </si>
  <si>
    <t>Your property value</t>
  </si>
  <si>
    <t>Nonlevy revenues</t>
  </si>
  <si>
    <t>UNDEVELOPED LAND</t>
  </si>
  <si>
    <t>2004 Distribution</t>
  </si>
  <si>
    <t>2004 Dist</t>
  </si>
  <si>
    <t>Total Assessed Value = (existing property value + newly created property value - decrease or lost property value) - (TIF district value)</t>
  </si>
  <si>
    <t>CITY OF MAYVILLE (DODGE)</t>
  </si>
  <si>
    <r>
      <t xml:space="preserve">Your Property Tax = </t>
    </r>
    <r>
      <rPr>
        <b/>
        <sz val="14"/>
        <rFont val="Arial"/>
        <family val="2"/>
      </rPr>
      <t>(</t>
    </r>
    <r>
      <rPr>
        <b/>
        <sz val="12"/>
        <rFont val="Arial"/>
        <family val="2"/>
      </rPr>
      <t xml:space="preserve">Tax Rate) X </t>
    </r>
    <r>
      <rPr>
        <b/>
        <sz val="14"/>
        <rFont val="Arial"/>
        <family val="2"/>
      </rPr>
      <t>(</t>
    </r>
    <r>
      <rPr>
        <b/>
        <sz val="12"/>
        <rFont val="Arial"/>
        <family val="2"/>
      </rPr>
      <t>Your Property Value</t>
    </r>
    <r>
      <rPr>
        <b/>
        <sz val="14"/>
        <rFont val="Arial"/>
        <family val="2"/>
      </rPr>
      <t>)</t>
    </r>
  </si>
  <si>
    <t>2005 Distribution</t>
  </si>
  <si>
    <t>2005 Dist</t>
  </si>
  <si>
    <t>Yearly Percent Change in Property Tax</t>
  </si>
  <si>
    <t>Yearly Change in Property Tax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</si>
</sst>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0.0"/>
    <numFmt numFmtId="168" formatCode="&quot;$&quot;#,##0.0"/>
    <numFmt numFmtId="169" formatCode="0.000"/>
    <numFmt numFmtId="170" formatCode="&quot;$&quot;#,##0.0000"/>
    <numFmt numFmtId="171" formatCode="0.0000"/>
    <numFmt numFmtId="172" formatCode="0.00000"/>
    <numFmt numFmtId="173" formatCode="#,##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00"/>
    <numFmt numFmtId="177" formatCode="#,##0.0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"/>
    <numFmt numFmtId="188" formatCode="0.000%"/>
    <numFmt numFmtId="189" formatCode="&quot;$&quot;#,##0.000"/>
    <numFmt numFmtId="190" formatCode="&quot;$&quot;#,##0.00000"/>
    <numFmt numFmtId="191" formatCode="#,##0.00000"/>
    <numFmt numFmtId="192" formatCode="#00000"/>
    <numFmt numFmtId="193" formatCode="\$#,##0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0"/>
    </font>
    <font>
      <sz val="10"/>
      <color indexed="55"/>
      <name val="Arial"/>
      <family val="0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"/>
      <color indexed="9"/>
      <name val="Arial"/>
      <family val="0"/>
    </font>
    <font>
      <b/>
      <sz val="9.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b/>
      <sz val="10"/>
      <color indexed="10"/>
      <name val="Arial"/>
      <family val="0"/>
    </font>
    <font>
      <b/>
      <sz val="10.7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60"/>
      <name val="Arial"/>
      <family val="0"/>
    </font>
    <font>
      <sz val="10"/>
      <color indexed="60"/>
      <name val="Arial"/>
      <family val="0"/>
    </font>
    <font>
      <b/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0"/>
    </font>
    <font>
      <b/>
      <sz val="10"/>
      <color indexed="12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ck">
        <color indexed="53"/>
      </left>
      <right style="double"/>
      <top style="thick">
        <color indexed="53"/>
      </top>
      <bottom style="thick">
        <color indexed="53"/>
      </bottom>
    </border>
    <border>
      <left style="double"/>
      <right style="thick">
        <color indexed="53"/>
      </right>
      <top style="thick">
        <color indexed="53"/>
      </top>
      <bottom style="thick">
        <color indexed="5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175" fontId="0" fillId="0" borderId="0" xfId="44" applyNumberFormat="1" applyFont="1" applyAlignment="1">
      <alignment/>
    </xf>
    <xf numFmtId="175" fontId="0" fillId="0" borderId="0" xfId="0" applyNumberFormat="1" applyAlignment="1">
      <alignment/>
    </xf>
    <xf numFmtId="9" fontId="0" fillId="0" borderId="0" xfId="59" applyFont="1" applyAlignment="1">
      <alignment/>
    </xf>
    <xf numFmtId="177" fontId="0" fillId="0" borderId="0" xfId="0" applyNumberFormat="1" applyAlignment="1">
      <alignment/>
    </xf>
    <xf numFmtId="44" fontId="0" fillId="0" borderId="0" xfId="44" applyFont="1" applyAlignment="1">
      <alignment horizontal="left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0" fillId="0" borderId="0" xfId="44" applyNumberFormat="1" applyFont="1" applyAlignment="1">
      <alignment horizontal="left"/>
    </xf>
    <xf numFmtId="0" fontId="0" fillId="33" borderId="15" xfId="0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1" fillId="35" borderId="25" xfId="0" applyFont="1" applyFill="1" applyBorder="1" applyAlignment="1">
      <alignment horizontal="center"/>
    </xf>
    <xf numFmtId="0" fontId="1" fillId="35" borderId="25" xfId="0" applyFont="1" applyFill="1" applyBorder="1" applyAlignment="1" quotePrefix="1">
      <alignment horizontal="left"/>
    </xf>
    <xf numFmtId="0" fontId="1" fillId="35" borderId="0" xfId="0" applyFont="1" applyFill="1" applyAlignment="1">
      <alignment horizontal="right"/>
    </xf>
    <xf numFmtId="0" fontId="0" fillId="35" borderId="0" xfId="0" applyFill="1" applyAlignment="1" quotePrefix="1">
      <alignment horizontal="center"/>
    </xf>
    <xf numFmtId="164" fontId="0" fillId="35" borderId="25" xfId="0" applyNumberFormat="1" applyFill="1" applyBorder="1" applyAlignment="1">
      <alignment horizontal="center"/>
    </xf>
    <xf numFmtId="164" fontId="5" fillId="35" borderId="0" xfId="0" applyNumberFormat="1" applyFont="1" applyFill="1" applyAlignment="1">
      <alignment horizontal="center"/>
    </xf>
    <xf numFmtId="164" fontId="5" fillId="35" borderId="0" xfId="0" applyNumberFormat="1" applyFont="1" applyFill="1" applyAlignment="1">
      <alignment/>
    </xf>
    <xf numFmtId="164" fontId="1" fillId="35" borderId="0" xfId="0" applyNumberFormat="1" applyFont="1" applyFill="1" applyAlignment="1">
      <alignment horizontal="center"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191" fontId="1" fillId="35" borderId="0" xfId="0" applyNumberFormat="1" applyFont="1" applyFill="1" applyAlignment="1">
      <alignment horizontal="center"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172" fontId="0" fillId="0" borderId="0" xfId="0" applyNumberFormat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1" fillId="36" borderId="28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1" fillId="36" borderId="31" xfId="0" applyFont="1" applyFill="1" applyBorder="1" applyAlignment="1">
      <alignment horizontal="left"/>
    </xf>
    <xf numFmtId="0" fontId="0" fillId="36" borderId="32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165" fontId="0" fillId="36" borderId="34" xfId="0" applyNumberFormat="1" applyFill="1" applyBorder="1" applyAlignment="1">
      <alignment horizontal="center"/>
    </xf>
    <xf numFmtId="0" fontId="1" fillId="35" borderId="35" xfId="0" applyFont="1" applyFill="1" applyBorder="1" applyAlignment="1">
      <alignment/>
    </xf>
    <xf numFmtId="0" fontId="0" fillId="35" borderId="36" xfId="0" applyFill="1" applyBorder="1" applyAlignment="1">
      <alignment/>
    </xf>
    <xf numFmtId="164" fontId="1" fillId="35" borderId="37" xfId="0" applyNumberFormat="1" applyFont="1" applyFill="1" applyBorder="1" applyAlignment="1">
      <alignment horizontal="center"/>
    </xf>
    <xf numFmtId="0" fontId="2" fillId="36" borderId="35" xfId="0" applyFont="1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1" fillId="36" borderId="38" xfId="0" applyFont="1" applyFill="1" applyBorder="1" applyAlignment="1">
      <alignment/>
    </xf>
    <xf numFmtId="3" fontId="5" fillId="35" borderId="0" xfId="0" applyNumberFormat="1" applyFont="1" applyFill="1" applyAlignment="1">
      <alignment horizontal="center"/>
    </xf>
    <xf numFmtId="172" fontId="5" fillId="35" borderId="0" xfId="0" applyNumberFormat="1" applyFont="1" applyFill="1" applyAlignment="1">
      <alignment horizontal="center"/>
    </xf>
    <xf numFmtId="165" fontId="5" fillId="35" borderId="0" xfId="0" applyNumberFormat="1" applyFont="1" applyFill="1" applyBorder="1" applyAlignment="1">
      <alignment horizontal="center"/>
    </xf>
    <xf numFmtId="165" fontId="4" fillId="35" borderId="0" xfId="0" applyNumberFormat="1" applyFont="1" applyFill="1" applyBorder="1" applyAlignment="1">
      <alignment horizontal="center"/>
    </xf>
    <xf numFmtId="164" fontId="9" fillId="35" borderId="0" xfId="0" applyNumberFormat="1" applyFont="1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92" fontId="0" fillId="0" borderId="0" xfId="0" applyNumberFormat="1" applyAlignment="1">
      <alignment horizontal="left"/>
    </xf>
    <xf numFmtId="164" fontId="5" fillId="35" borderId="0" xfId="0" applyNumberFormat="1" applyFont="1" applyFill="1" applyAlignment="1">
      <alignment/>
    </xf>
    <xf numFmtId="164" fontId="1" fillId="35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10" fillId="0" borderId="35" xfId="0" applyFont="1" applyBorder="1" applyAlignment="1">
      <alignment/>
    </xf>
    <xf numFmtId="166" fontId="5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53"/>
      </font>
    </dxf>
    <dxf>
      <font>
        <b/>
        <i val="0"/>
        <u val="sing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Property Tax Change</a:t>
            </a:r>
          </a:p>
        </c:rich>
      </c:tx>
      <c:layout>
        <c:manualLayout>
          <c:xMode val="factor"/>
          <c:yMode val="factor"/>
          <c:x val="-0.001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25"/>
          <c:y val="0.255"/>
          <c:w val="0.48975"/>
          <c:h val="0.5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Data!$A$122</c:f>
              <c:strCache>
                <c:ptCount val="1"/>
                <c:pt idx="0">
                  <c:v>Local Tax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Data!$B$122</c:f>
              <c:numCache>
                <c:ptCount val="1"/>
                <c:pt idx="0">
                  <c:v>0.3652132691984743</c:v>
                </c:pt>
              </c:numCache>
            </c:numRef>
          </c:val>
        </c:ser>
        <c:ser>
          <c:idx val="1"/>
          <c:order val="1"/>
          <c:tx>
            <c:strRef>
              <c:f>Data!$A$123</c:f>
              <c:strCache>
                <c:ptCount val="1"/>
                <c:pt idx="0">
                  <c:v>County Tax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Data!$B$123</c:f>
              <c:numCache>
                <c:ptCount val="1"/>
                <c:pt idx="0">
                  <c:v>0.3292786261717341</c:v>
                </c:pt>
              </c:numCache>
            </c:numRef>
          </c:val>
        </c:ser>
        <c:ser>
          <c:idx val="2"/>
          <c:order val="2"/>
          <c:tx>
            <c:strRef>
              <c:f>Data!$A$124</c:f>
              <c:strCache>
                <c:ptCount val="1"/>
                <c:pt idx="0">
                  <c:v>School Tax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Data!$B$124</c:f>
              <c:numCache>
                <c:ptCount val="1"/>
                <c:pt idx="0">
                  <c:v>0.1993816476064286</c:v>
                </c:pt>
              </c:numCache>
            </c:numRef>
          </c:val>
        </c:ser>
        <c:ser>
          <c:idx val="3"/>
          <c:order val="3"/>
          <c:tx>
            <c:strRef>
              <c:f>Data!$A$125</c:f>
              <c:strCache>
                <c:ptCount val="1"/>
                <c:pt idx="0">
                  <c:v>Other Tax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Data!$B$125</c:f>
              <c:numCache>
                <c:ptCount val="1"/>
                <c:pt idx="0">
                  <c:v>0.03149402301953771</c:v>
                </c:pt>
              </c:numCache>
            </c:numRef>
          </c:val>
        </c:ser>
        <c:ser>
          <c:idx val="4"/>
          <c:order val="4"/>
          <c:tx>
            <c:strRef>
              <c:f>Data!$A$126</c:f>
              <c:strCache>
                <c:ptCount val="1"/>
                <c:pt idx="0">
                  <c:v>VoTech Tax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Data!$B$126</c:f>
              <c:numCache>
                <c:ptCount val="1"/>
                <c:pt idx="0">
                  <c:v>0.074632793501191</c:v>
                </c:pt>
              </c:numCache>
            </c:numRef>
          </c:val>
        </c:ser>
        <c:overlap val="100"/>
        <c:gapWidth val="100"/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25"/>
          <c:y val="0.408"/>
          <c:w val="0.132"/>
          <c:h val="0.307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Data!$A$108</c:f>
        </c:strRef>
      </c:tx>
      <c:layout>
        <c:manualLayout>
          <c:xMode val="factor"/>
          <c:yMode val="factor"/>
          <c:x val="0.01325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75"/>
          <c:y val="0.114"/>
          <c:w val="0.80725"/>
          <c:h val="0.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Data!$A$102</c:f>
              <c:strCache>
                <c:ptCount val="1"/>
                <c:pt idx="0">
                  <c:v>SCHOOL DISTRICT TAX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Data!$E$113:$T$113</c:f>
              <c:numCache>
                <c:ptCount val="16"/>
                <c:pt idx="0">
                  <c:v>0.5352736746418166</c:v>
                </c:pt>
                <c:pt idx="1">
                  <c:v>0.5474096487684077</c:v>
                </c:pt>
                <c:pt idx="2">
                  <c:v>0.5651855805858907</c:v>
                </c:pt>
                <c:pt idx="3">
                  <c:v>0.5233868252219434</c:v>
                </c:pt>
                <c:pt idx="4">
                  <c:v>0.4935229515117204</c:v>
                </c:pt>
                <c:pt idx="5">
                  <c:v>0.467019041496548</c:v>
                </c:pt>
                <c:pt idx="6">
                  <c:v>0.3902830387101195</c:v>
                </c:pt>
                <c:pt idx="7">
                  <c:v>0.3737428262585261</c:v>
                </c:pt>
                <c:pt idx="8">
                  <c:v>0.4058670716674795</c:v>
                </c:pt>
                <c:pt idx="9">
                  <c:v>0.40454667490469176</c:v>
                </c:pt>
                <c:pt idx="10">
                  <c:v>0.3956453347062665</c:v>
                </c:pt>
                <c:pt idx="11">
                  <c:v>0.3751553368105713</c:v>
                </c:pt>
                <c:pt idx="12">
                  <c:v>0.37515026467086254</c:v>
                </c:pt>
                <c:pt idx="13">
                  <c:v>0.3706285120168429</c:v>
                </c:pt>
                <c:pt idx="14">
                  <c:v>0.3872961154820292</c:v>
                </c:pt>
                <c:pt idx="15">
                  <c:v>0.38729611548202914</c:v>
                </c:pt>
              </c:numCache>
            </c:numRef>
          </c:val>
        </c:ser>
        <c:ser>
          <c:idx val="5"/>
          <c:order val="1"/>
          <c:tx>
            <c:strRef>
              <c:f>Data!$A$103</c:f>
              <c:strCache>
                <c:ptCount val="1"/>
                <c:pt idx="0">
                  <c:v>TECH COLLEGE DISTRICT TAX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Data!$E$116:$T$116</c:f>
              <c:numCache>
                <c:ptCount val="16"/>
                <c:pt idx="0">
                  <c:v>0.048841409636773435</c:v>
                </c:pt>
                <c:pt idx="1">
                  <c:v>0.047347260369429885</c:v>
                </c:pt>
                <c:pt idx="2">
                  <c:v>0.04481991172597555</c:v>
                </c:pt>
                <c:pt idx="3">
                  <c:v>0.04499887012965715</c:v>
                </c:pt>
                <c:pt idx="4">
                  <c:v>0.04599076670844528</c:v>
                </c:pt>
                <c:pt idx="5">
                  <c:v>0.04813986670261167</c:v>
                </c:pt>
                <c:pt idx="6">
                  <c:v>0.048898316866939684</c:v>
                </c:pt>
                <c:pt idx="7">
                  <c:v>0.0499652723775815</c:v>
                </c:pt>
                <c:pt idx="8">
                  <c:v>0.058341429509506125</c:v>
                </c:pt>
                <c:pt idx="9">
                  <c:v>0.0571456790815032</c:v>
                </c:pt>
                <c:pt idx="10">
                  <c:v>0.06051934228355212</c:v>
                </c:pt>
                <c:pt idx="11">
                  <c:v>0.06297342004209931</c:v>
                </c:pt>
                <c:pt idx="12">
                  <c:v>0.062114165704638985</c:v>
                </c:pt>
                <c:pt idx="13">
                  <c:v>0.062099994563632674</c:v>
                </c:pt>
                <c:pt idx="14">
                  <c:v>0.06020382887992964</c:v>
                </c:pt>
                <c:pt idx="15">
                  <c:v>0.060203828879929644</c:v>
                </c:pt>
              </c:numCache>
            </c:numRef>
          </c:val>
        </c:ser>
        <c:ser>
          <c:idx val="1"/>
          <c:order val="2"/>
          <c:tx>
            <c:strRef>
              <c:f>Data!$A$104</c:f>
              <c:strCache>
                <c:ptCount val="1"/>
                <c:pt idx="0">
                  <c:v>COUNTY TAX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Data!$E$112:$T$112</c:f>
              <c:numCache>
                <c:ptCount val="16"/>
                <c:pt idx="0">
                  <c:v>0.18460592659887853</c:v>
                </c:pt>
                <c:pt idx="1">
                  <c:v>0.18713375116789574</c:v>
                </c:pt>
                <c:pt idx="2">
                  <c:v>0.17793921400385126</c:v>
                </c:pt>
                <c:pt idx="3">
                  <c:v>0.18250803102468485</c:v>
                </c:pt>
                <c:pt idx="4">
                  <c:v>0.18816758514164914</c:v>
                </c:pt>
                <c:pt idx="5">
                  <c:v>0.19889253624894432</c:v>
                </c:pt>
                <c:pt idx="6">
                  <c:v>0.19553603151661011</c:v>
                </c:pt>
                <c:pt idx="7">
                  <c:v>0.20680081800697256</c:v>
                </c:pt>
                <c:pt idx="8">
                  <c:v>0.2433868000967701</c:v>
                </c:pt>
                <c:pt idx="9">
                  <c:v>0.2440524155097223</c:v>
                </c:pt>
                <c:pt idx="10">
                  <c:v>0.244483242381141</c:v>
                </c:pt>
                <c:pt idx="11">
                  <c:v>0.2451992084882461</c:v>
                </c:pt>
                <c:pt idx="12">
                  <c:v>0.24217666054879053</c:v>
                </c:pt>
                <c:pt idx="13">
                  <c:v>0.2474592704889271</c:v>
                </c:pt>
                <c:pt idx="14">
                  <c:v>0.24834162508746735</c:v>
                </c:pt>
                <c:pt idx="15">
                  <c:v>0.24834162508746732</c:v>
                </c:pt>
              </c:numCache>
            </c:numRef>
          </c:val>
        </c:ser>
        <c:ser>
          <c:idx val="0"/>
          <c:order val="3"/>
          <c:tx>
            <c:strRef>
              <c:f>Data!$A$105</c:f>
              <c:strCache>
                <c:ptCount val="1"/>
                <c:pt idx="0">
                  <c:v>LOCAL TAX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Data!$E$111:$T$111</c:f>
              <c:numCache>
                <c:ptCount val="16"/>
                <c:pt idx="0">
                  <c:v>0.20011326297529708</c:v>
                </c:pt>
                <c:pt idx="1">
                  <c:v>0.17982701306986645</c:v>
                </c:pt>
                <c:pt idx="2">
                  <c:v>0.17019792174448178</c:v>
                </c:pt>
                <c:pt idx="3">
                  <c:v>0.19801504889324886</c:v>
                </c:pt>
                <c:pt idx="4">
                  <c:v>0.21964778338825638</c:v>
                </c:pt>
                <c:pt idx="5">
                  <c:v>0.22562154552917826</c:v>
                </c:pt>
                <c:pt idx="6">
                  <c:v>0.28571691692706713</c:v>
                </c:pt>
                <c:pt idx="7">
                  <c:v>0.27682947916294354</c:v>
                </c:pt>
                <c:pt idx="8">
                  <c:v>0.27931442988199423</c:v>
                </c:pt>
                <c:pt idx="9">
                  <c:v>0.2797077945709744</c:v>
                </c:pt>
                <c:pt idx="10">
                  <c:v>0.27814810944536117</c:v>
                </c:pt>
                <c:pt idx="11">
                  <c:v>0.29267380126284354</c:v>
                </c:pt>
                <c:pt idx="12">
                  <c:v>0.2973233775190542</c:v>
                </c:pt>
                <c:pt idx="13">
                  <c:v>0.29030973702808627</c:v>
                </c:pt>
                <c:pt idx="14">
                  <c:v>0.27284823127389723</c:v>
                </c:pt>
                <c:pt idx="15">
                  <c:v>0.27284823127389723</c:v>
                </c:pt>
              </c:numCache>
            </c:numRef>
          </c:val>
        </c:ser>
        <c:ser>
          <c:idx val="4"/>
          <c:order val="4"/>
          <c:tx>
            <c:strRef>
              <c:f>Data!$A$106</c:f>
              <c:strCache>
                <c:ptCount val="1"/>
                <c:pt idx="0">
                  <c:v>OTHER  PROPERTY TAXES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Data!$E$115:$T$115</c:f>
              <c:numCache>
                <c:ptCount val="16"/>
                <c:pt idx="0">
                  <c:v>0.031165184737218528</c:v>
                </c:pt>
                <c:pt idx="1">
                  <c:v>0.03828182349215038</c:v>
                </c:pt>
                <c:pt idx="2">
                  <c:v>0.04185715136502699</c:v>
                </c:pt>
                <c:pt idx="3">
                  <c:v>0.05109101174830876</c:v>
                </c:pt>
                <c:pt idx="4">
                  <c:v>0.05267091324992882</c:v>
                </c:pt>
                <c:pt idx="5">
                  <c:v>0.0603268067139075</c:v>
                </c:pt>
                <c:pt idx="6">
                  <c:v>0.07956569597926355</c:v>
                </c:pt>
                <c:pt idx="7">
                  <c:v>0.09266160419397623</c:v>
                </c:pt>
                <c:pt idx="8">
                  <c:v>0.01309026884425005</c:v>
                </c:pt>
                <c:pt idx="9">
                  <c:v>0.014547251664726629</c:v>
                </c:pt>
                <c:pt idx="10">
                  <c:v>0.021204144767607572</c:v>
                </c:pt>
                <c:pt idx="11">
                  <c:v>0.02399806379142407</c:v>
                </c:pt>
                <c:pt idx="12">
                  <c:v>0.023235531556653775</c:v>
                </c:pt>
                <c:pt idx="13">
                  <c:v>0.02950248590251111</c:v>
                </c:pt>
                <c:pt idx="14">
                  <c:v>0.03131005476228394</c:v>
                </c:pt>
                <c:pt idx="15">
                  <c:v>0.03131005476228394</c:v>
                </c:pt>
              </c:numCache>
            </c:numRef>
          </c:val>
        </c:ser>
        <c:overlap val="100"/>
        <c:gapWidth val="50"/>
        <c:axId val="48442386"/>
        <c:axId val="33328291"/>
      </c:barChart>
      <c:catAx>
        <c:axId val="484423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Share of Tax Bill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1355"/>
          <c:w val="0.13575"/>
          <c:h val="0.2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Data!$A$108</c:f>
        </c:strRef>
      </c:tx>
      <c:layout>
        <c:manualLayout>
          <c:xMode val="factor"/>
          <c:yMode val="factor"/>
          <c:x val="0.014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075"/>
          <c:y val="0.11375"/>
          <c:w val="0.94825"/>
          <c:h val="0.8715"/>
        </c:manualLayout>
      </c:layout>
      <c:areaChart>
        <c:grouping val="stacked"/>
        <c:varyColors val="0"/>
        <c:ser>
          <c:idx val="0"/>
          <c:order val="0"/>
          <c:tx>
            <c:strRef>
              <c:f>Data!$A$102</c:f>
              <c:strCache>
                <c:ptCount val="1"/>
                <c:pt idx="0">
                  <c:v>SCHOOL DISTRICT 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Data!$E$102:$T$102</c:f>
              <c:numCache>
                <c:ptCount val="16"/>
                <c:pt idx="0">
                  <c:v>835.2636439170119</c:v>
                </c:pt>
                <c:pt idx="1">
                  <c:v>932.6933605970027</c:v>
                </c:pt>
                <c:pt idx="2">
                  <c:v>1095.7704031165053</c:v>
                </c:pt>
                <c:pt idx="3">
                  <c:v>1045.6092969543713</c:v>
                </c:pt>
                <c:pt idx="4">
                  <c:v>995.3226535510746</c:v>
                </c:pt>
                <c:pt idx="5">
                  <c:v>909.4130681579024</c:v>
                </c:pt>
                <c:pt idx="6">
                  <c:v>752.9179333332577</c:v>
                </c:pt>
                <c:pt idx="7">
                  <c:v>737.3274856546518</c:v>
                </c:pt>
                <c:pt idx="8">
                  <c:v>736.3460962903121</c:v>
                </c:pt>
                <c:pt idx="9">
                  <c:v>800.1630576097174</c:v>
                </c:pt>
                <c:pt idx="10">
                  <c:v>848.620188564587</c:v>
                </c:pt>
                <c:pt idx="11">
                  <c:v>830.1363795388139</c:v>
                </c:pt>
                <c:pt idx="12">
                  <c:v>894.8280282913978</c:v>
                </c:pt>
                <c:pt idx="13">
                  <c:v>918.7548764444972</c:v>
                </c:pt>
                <c:pt idx="14">
                  <c:v>1019.1179388962996</c:v>
                </c:pt>
                <c:pt idx="15">
                  <c:v>1080.2650152300778</c:v>
                </c:pt>
              </c:numCache>
            </c:numRef>
          </c:val>
        </c:ser>
        <c:ser>
          <c:idx val="1"/>
          <c:order val="1"/>
          <c:tx>
            <c:strRef>
              <c:f>Data!$A$103</c:f>
              <c:strCache>
                <c:ptCount val="1"/>
                <c:pt idx="0">
                  <c:v>TECH COLLEGE DISTRICT TAX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Data!$E$103:$T$103</c:f>
              <c:numCache>
                <c:ptCount val="16"/>
                <c:pt idx="0">
                  <c:v>76.21419793258747</c:v>
                </c:pt>
                <c:pt idx="1">
                  <c:v>80.67171539336127</c:v>
                </c:pt>
                <c:pt idx="2">
                  <c:v>86.89594077879143</c:v>
                </c:pt>
                <c:pt idx="3">
                  <c:v>89.89763343786822</c:v>
                </c:pt>
                <c:pt idx="4">
                  <c:v>92.7528331131953</c:v>
                </c:pt>
                <c:pt idx="5">
                  <c:v>93.74141092501496</c:v>
                </c:pt>
                <c:pt idx="6">
                  <c:v>94.33261512108956</c:v>
                </c:pt>
                <c:pt idx="7">
                  <c:v>98.57251046399597</c:v>
                </c:pt>
                <c:pt idx="8">
                  <c:v>105.84619169725914</c:v>
                </c:pt>
                <c:pt idx="9">
                  <c:v>113.02987798333021</c:v>
                </c:pt>
                <c:pt idx="10">
                  <c:v>129.80801529885787</c:v>
                </c:pt>
                <c:pt idx="11">
                  <c:v>139.34635014221192</c:v>
                </c:pt>
                <c:pt idx="12">
                  <c:v>148.15795605318738</c:v>
                </c:pt>
                <c:pt idx="13">
                  <c:v>153.940322945045</c:v>
                </c:pt>
                <c:pt idx="14">
                  <c:v>158.41832527913985</c:v>
                </c:pt>
                <c:pt idx="15">
                  <c:v>167.9234247958883</c:v>
                </c:pt>
              </c:numCache>
            </c:numRef>
          </c:val>
        </c:ser>
        <c:ser>
          <c:idx val="2"/>
          <c:order val="2"/>
          <c:tx>
            <c:strRef>
              <c:f>Data!$A$104</c:f>
              <c:strCache>
                <c:ptCount val="1"/>
                <c:pt idx="0">
                  <c:v>COUNTY TAX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Data!$E$104:$T$104</c:f>
              <c:numCache>
                <c:ptCount val="16"/>
                <c:pt idx="0">
                  <c:v>288.0668828760101</c:v>
                </c:pt>
                <c:pt idx="1">
                  <c:v>318.84422872449187</c:v>
                </c:pt>
                <c:pt idx="2">
                  <c:v>344.98495884681046</c:v>
                </c:pt>
                <c:pt idx="3">
                  <c:v>364.61004521335536</c:v>
                </c:pt>
                <c:pt idx="4">
                  <c:v>379.49088199809125</c:v>
                </c:pt>
                <c:pt idx="5">
                  <c:v>387.29785201958674</c:v>
                </c:pt>
                <c:pt idx="6">
                  <c:v>377.22004324923165</c:v>
                </c:pt>
                <c:pt idx="7">
                  <c:v>407.9808800582371</c:v>
                </c:pt>
                <c:pt idx="8">
                  <c:v>441.56555840695745</c:v>
                </c:pt>
                <c:pt idx="9">
                  <c:v>482.71741958404067</c:v>
                </c:pt>
                <c:pt idx="10">
                  <c:v>524.3924218249588</c:v>
                </c:pt>
                <c:pt idx="11">
                  <c:v>542.5720047879638</c:v>
                </c:pt>
                <c:pt idx="12">
                  <c:v>577.652434411039</c:v>
                </c:pt>
                <c:pt idx="13">
                  <c:v>613.4293615078586</c:v>
                </c:pt>
                <c:pt idx="14">
                  <c:v>653.4777783306758</c:v>
                </c:pt>
                <c:pt idx="15">
                  <c:v>692.6864450305166</c:v>
                </c:pt>
              </c:numCache>
            </c:numRef>
          </c:val>
        </c:ser>
        <c:ser>
          <c:idx val="3"/>
          <c:order val="3"/>
          <c:tx>
            <c:strRef>
              <c:f>Data!$A$105</c:f>
              <c:strCache>
                <c:ptCount val="1"/>
                <c:pt idx="0">
                  <c:v>LOCAL TAX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Data!$E$105:$T$105</c:f>
              <c:numCache>
                <c:ptCount val="16"/>
                <c:pt idx="0">
                  <c:v>312.26518535722516</c:v>
                </c:pt>
                <c:pt idx="1">
                  <c:v>306.39478409561895</c:v>
                </c:pt>
                <c:pt idx="2">
                  <c:v>329.9762975662121</c:v>
                </c:pt>
                <c:pt idx="3">
                  <c:v>395.5895832338862</c:v>
                </c:pt>
                <c:pt idx="4">
                  <c:v>442.9792250572142</c:v>
                </c:pt>
                <c:pt idx="5">
                  <c:v>439.3465013861421</c:v>
                </c:pt>
                <c:pt idx="6">
                  <c:v>551.1932860880937</c:v>
                </c:pt>
                <c:pt idx="7">
                  <c:v>546.1348539305737</c:v>
                </c:pt>
                <c:pt idx="8">
                  <c:v>506.74741667553764</c:v>
                </c:pt>
                <c:pt idx="9">
                  <c:v>553.2410918812026</c:v>
                </c:pt>
                <c:pt idx="10">
                  <c:v>596.6002385991667</c:v>
                </c:pt>
                <c:pt idx="11">
                  <c:v>647.6228535937839</c:v>
                </c:pt>
                <c:pt idx="12">
                  <c:v>709.1912674078361</c:v>
                </c:pt>
                <c:pt idx="13">
                  <c:v>719.6518290577517</c:v>
                </c:pt>
                <c:pt idx="14">
                  <c:v>717.9636355021935</c:v>
                </c:pt>
                <c:pt idx="15">
                  <c:v>761.0414536323253</c:v>
                </c:pt>
              </c:numCache>
            </c:numRef>
          </c:val>
        </c:ser>
        <c:ser>
          <c:idx val="4"/>
          <c:order val="4"/>
          <c:tx>
            <c:strRef>
              <c:f>Data!$A$106</c:f>
              <c:strCache>
                <c:ptCount val="1"/>
                <c:pt idx="0">
                  <c:v>OTHER  PROPERTY TAXES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Data!$E$106:$T$106</c:f>
              <c:numCache>
                <c:ptCount val="16"/>
                <c:pt idx="0">
                  <c:v>48.63147021824859</c:v>
                </c:pt>
                <c:pt idx="1">
                  <c:v>65.22574580664873</c:v>
                </c:pt>
                <c:pt idx="2">
                  <c:v>81.15180075368893</c:v>
                </c:pt>
                <c:pt idx="3">
                  <c:v>102.0683637808102</c:v>
                </c:pt>
                <c:pt idx="4">
                  <c:v>106.22515727038606</c:v>
                </c:pt>
                <c:pt idx="5">
                  <c:v>117.4726970661835</c:v>
                </c:pt>
                <c:pt idx="6">
                  <c:v>153.49485742173022</c:v>
                </c:pt>
                <c:pt idx="7">
                  <c:v>182.80470643685678</c:v>
                </c:pt>
                <c:pt idx="8">
                  <c:v>23.749077064205085</c:v>
                </c:pt>
                <c:pt idx="9">
                  <c:v>28.773375469241095</c:v>
                </c:pt>
                <c:pt idx="10">
                  <c:v>45.48079745309564</c:v>
                </c:pt>
                <c:pt idx="11">
                  <c:v>53.10244540600367</c:v>
                </c:pt>
                <c:pt idx="12">
                  <c:v>55.42260487910013</c:v>
                </c:pt>
                <c:pt idx="13">
                  <c:v>73.13401940575831</c:v>
                </c:pt>
                <c:pt idx="14">
                  <c:v>82.3882223459834</c:v>
                </c:pt>
                <c:pt idx="15">
                  <c:v>87.33151568674242</c:v>
                </c:pt>
              </c:numCache>
            </c:numRef>
          </c:val>
        </c:ser>
        <c:axId val="31519164"/>
        <c:axId val="15237021"/>
      </c:areaChart>
      <c:catAx>
        <c:axId val="31519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Data!$A$108</c:f>
        </c:strRef>
      </c:tx>
      <c:layout>
        <c:manualLayout>
          <c:xMode val="factor"/>
          <c:yMode val="factor"/>
          <c:x val="0.025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"/>
          <c:y val="0.1125"/>
          <c:w val="0.912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Data!$A$102</c:f>
              <c:strCache>
                <c:ptCount val="1"/>
                <c:pt idx="0">
                  <c:v>SCHOOL DISTRICT 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Data!$E$102:$T$102</c:f>
              <c:numCache>
                <c:ptCount val="16"/>
                <c:pt idx="0">
                  <c:v>835.2636439170119</c:v>
                </c:pt>
                <c:pt idx="1">
                  <c:v>932.6933605970027</c:v>
                </c:pt>
                <c:pt idx="2">
                  <c:v>1095.7704031165053</c:v>
                </c:pt>
                <c:pt idx="3">
                  <c:v>1045.6092969543713</c:v>
                </c:pt>
                <c:pt idx="4">
                  <c:v>995.3226535510746</c:v>
                </c:pt>
                <c:pt idx="5">
                  <c:v>909.4130681579024</c:v>
                </c:pt>
                <c:pt idx="6">
                  <c:v>752.9179333332577</c:v>
                </c:pt>
                <c:pt idx="7">
                  <c:v>737.3274856546518</c:v>
                </c:pt>
                <c:pt idx="8">
                  <c:v>736.3460962903121</c:v>
                </c:pt>
                <c:pt idx="9">
                  <c:v>800.1630576097174</c:v>
                </c:pt>
                <c:pt idx="10">
                  <c:v>848.620188564587</c:v>
                </c:pt>
                <c:pt idx="11">
                  <c:v>830.1363795388139</c:v>
                </c:pt>
                <c:pt idx="12">
                  <c:v>894.8280282913978</c:v>
                </c:pt>
                <c:pt idx="13">
                  <c:v>918.7548764444972</c:v>
                </c:pt>
                <c:pt idx="14">
                  <c:v>1019.1179388962996</c:v>
                </c:pt>
                <c:pt idx="15">
                  <c:v>1080.2650152300778</c:v>
                </c:pt>
              </c:numCache>
            </c:numRef>
          </c:val>
        </c:ser>
        <c:ser>
          <c:idx val="1"/>
          <c:order val="1"/>
          <c:tx>
            <c:strRef>
              <c:f>Data!$A$103</c:f>
              <c:strCache>
                <c:ptCount val="1"/>
                <c:pt idx="0">
                  <c:v>TECH COLLEGE DISTRICT TAX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Data!$E$103:$T$103</c:f>
              <c:numCache>
                <c:ptCount val="16"/>
                <c:pt idx="0">
                  <c:v>76.21419793258747</c:v>
                </c:pt>
                <c:pt idx="1">
                  <c:v>80.67171539336127</c:v>
                </c:pt>
                <c:pt idx="2">
                  <c:v>86.89594077879143</c:v>
                </c:pt>
                <c:pt idx="3">
                  <c:v>89.89763343786822</c:v>
                </c:pt>
                <c:pt idx="4">
                  <c:v>92.7528331131953</c:v>
                </c:pt>
                <c:pt idx="5">
                  <c:v>93.74141092501496</c:v>
                </c:pt>
                <c:pt idx="6">
                  <c:v>94.33261512108956</c:v>
                </c:pt>
                <c:pt idx="7">
                  <c:v>98.57251046399597</c:v>
                </c:pt>
                <c:pt idx="8">
                  <c:v>105.84619169725914</c:v>
                </c:pt>
                <c:pt idx="9">
                  <c:v>113.02987798333021</c:v>
                </c:pt>
                <c:pt idx="10">
                  <c:v>129.80801529885787</c:v>
                </c:pt>
                <c:pt idx="11">
                  <c:v>139.34635014221192</c:v>
                </c:pt>
                <c:pt idx="12">
                  <c:v>148.15795605318738</c:v>
                </c:pt>
                <c:pt idx="13">
                  <c:v>153.940322945045</c:v>
                </c:pt>
                <c:pt idx="14">
                  <c:v>158.41832527913985</c:v>
                </c:pt>
                <c:pt idx="15">
                  <c:v>167.9234247958883</c:v>
                </c:pt>
              </c:numCache>
            </c:numRef>
          </c:val>
        </c:ser>
        <c:ser>
          <c:idx val="2"/>
          <c:order val="2"/>
          <c:tx>
            <c:strRef>
              <c:f>Data!$A$104</c:f>
              <c:strCache>
                <c:ptCount val="1"/>
                <c:pt idx="0">
                  <c:v>COUNTY TAX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Data!$E$104:$T$104</c:f>
              <c:numCache>
                <c:ptCount val="16"/>
                <c:pt idx="0">
                  <c:v>288.0668828760101</c:v>
                </c:pt>
                <c:pt idx="1">
                  <c:v>318.84422872449187</c:v>
                </c:pt>
                <c:pt idx="2">
                  <c:v>344.98495884681046</c:v>
                </c:pt>
                <c:pt idx="3">
                  <c:v>364.61004521335536</c:v>
                </c:pt>
                <c:pt idx="4">
                  <c:v>379.49088199809125</c:v>
                </c:pt>
                <c:pt idx="5">
                  <c:v>387.29785201958674</c:v>
                </c:pt>
                <c:pt idx="6">
                  <c:v>377.22004324923165</c:v>
                </c:pt>
                <c:pt idx="7">
                  <c:v>407.9808800582371</c:v>
                </c:pt>
                <c:pt idx="8">
                  <c:v>441.56555840695745</c:v>
                </c:pt>
                <c:pt idx="9">
                  <c:v>482.71741958404067</c:v>
                </c:pt>
                <c:pt idx="10">
                  <c:v>524.3924218249588</c:v>
                </c:pt>
                <c:pt idx="11">
                  <c:v>542.5720047879638</c:v>
                </c:pt>
                <c:pt idx="12">
                  <c:v>577.652434411039</c:v>
                </c:pt>
                <c:pt idx="13">
                  <c:v>613.4293615078586</c:v>
                </c:pt>
                <c:pt idx="14">
                  <c:v>653.4777783306758</c:v>
                </c:pt>
                <c:pt idx="15">
                  <c:v>692.6864450305166</c:v>
                </c:pt>
              </c:numCache>
            </c:numRef>
          </c:val>
        </c:ser>
        <c:ser>
          <c:idx val="3"/>
          <c:order val="3"/>
          <c:tx>
            <c:strRef>
              <c:f>Data!$A$105</c:f>
              <c:strCache>
                <c:ptCount val="1"/>
                <c:pt idx="0">
                  <c:v>LOCAL TAX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Data!$E$105:$T$105</c:f>
              <c:numCache>
                <c:ptCount val="16"/>
                <c:pt idx="0">
                  <c:v>312.26518535722516</c:v>
                </c:pt>
                <c:pt idx="1">
                  <c:v>306.39478409561895</c:v>
                </c:pt>
                <c:pt idx="2">
                  <c:v>329.9762975662121</c:v>
                </c:pt>
                <c:pt idx="3">
                  <c:v>395.5895832338862</c:v>
                </c:pt>
                <c:pt idx="4">
                  <c:v>442.9792250572142</c:v>
                </c:pt>
                <c:pt idx="5">
                  <c:v>439.3465013861421</c:v>
                </c:pt>
                <c:pt idx="6">
                  <c:v>551.1932860880937</c:v>
                </c:pt>
                <c:pt idx="7">
                  <c:v>546.1348539305737</c:v>
                </c:pt>
                <c:pt idx="8">
                  <c:v>506.74741667553764</c:v>
                </c:pt>
                <c:pt idx="9">
                  <c:v>553.2410918812026</c:v>
                </c:pt>
                <c:pt idx="10">
                  <c:v>596.6002385991667</c:v>
                </c:pt>
                <c:pt idx="11">
                  <c:v>647.6228535937839</c:v>
                </c:pt>
                <c:pt idx="12">
                  <c:v>709.1912674078361</c:v>
                </c:pt>
                <c:pt idx="13">
                  <c:v>719.6518290577517</c:v>
                </c:pt>
                <c:pt idx="14">
                  <c:v>717.9636355021935</c:v>
                </c:pt>
                <c:pt idx="15">
                  <c:v>761.0414536323253</c:v>
                </c:pt>
              </c:numCache>
            </c:numRef>
          </c:val>
        </c:ser>
        <c:ser>
          <c:idx val="4"/>
          <c:order val="4"/>
          <c:tx>
            <c:strRef>
              <c:f>Data!$A$106</c:f>
              <c:strCache>
                <c:ptCount val="1"/>
                <c:pt idx="0">
                  <c:v>OTHER  PROPERTY TAXES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Data!$E$106:$T$106</c:f>
              <c:numCache>
                <c:ptCount val="16"/>
                <c:pt idx="0">
                  <c:v>48.63147021824859</c:v>
                </c:pt>
                <c:pt idx="1">
                  <c:v>65.22574580664873</c:v>
                </c:pt>
                <c:pt idx="2">
                  <c:v>81.15180075368893</c:v>
                </c:pt>
                <c:pt idx="3">
                  <c:v>102.0683637808102</c:v>
                </c:pt>
                <c:pt idx="4">
                  <c:v>106.22515727038606</c:v>
                </c:pt>
                <c:pt idx="5">
                  <c:v>117.4726970661835</c:v>
                </c:pt>
                <c:pt idx="6">
                  <c:v>153.49485742173022</c:v>
                </c:pt>
                <c:pt idx="7">
                  <c:v>182.80470643685678</c:v>
                </c:pt>
                <c:pt idx="8">
                  <c:v>23.749077064205085</c:v>
                </c:pt>
                <c:pt idx="9">
                  <c:v>28.773375469241095</c:v>
                </c:pt>
                <c:pt idx="10">
                  <c:v>45.48079745309564</c:v>
                </c:pt>
                <c:pt idx="11">
                  <c:v>53.10244540600367</c:v>
                </c:pt>
                <c:pt idx="12">
                  <c:v>55.42260487910013</c:v>
                </c:pt>
                <c:pt idx="13">
                  <c:v>73.13401940575831</c:v>
                </c:pt>
                <c:pt idx="14">
                  <c:v>82.3882223459834</c:v>
                </c:pt>
                <c:pt idx="15">
                  <c:v>87.33151568674242</c:v>
                </c:pt>
              </c:numCache>
            </c:numRef>
          </c:val>
        </c:ser>
        <c:overlap val="100"/>
        <c:gapWidth val="30"/>
        <c:axId val="2915462"/>
        <c:axId val="26239159"/>
      </c:barChart>
      <c:catAx>
        <c:axId val="29154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395"/>
          <c:w val="0.956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Data!$A$100</c:f>
        </c:strRef>
      </c:tx>
      <c:layout>
        <c:manualLayout>
          <c:xMode val="factor"/>
          <c:yMode val="factor"/>
          <c:x val="0.0322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"/>
          <c:y val="0.1195"/>
          <c:w val="0.9125"/>
          <c:h val="0.828"/>
        </c:manualLayout>
      </c:layout>
      <c:barChart>
        <c:barDir val="col"/>
        <c:grouping val="clustered"/>
        <c:varyColors val="0"/>
        <c:ser>
          <c:idx val="5"/>
          <c:order val="1"/>
          <c:tx>
            <c:v>Yearly Change</c:v>
          </c:tx>
          <c:spPr>
            <a:solidFill>
              <a:srgbClr val="9933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Data!$E$100:$T$100</c:f>
              <c:numCache>
                <c:ptCount val="16"/>
                <c:pt idx="1">
                  <c:v>143.38846672915997</c:v>
                </c:pt>
                <c:pt idx="2">
                  <c:v>234.9491368386373</c:v>
                </c:pt>
                <c:pt idx="3">
                  <c:v>58.99551940286392</c:v>
                </c:pt>
                <c:pt idx="4">
                  <c:v>18.995402879167386</c:v>
                </c:pt>
                <c:pt idx="5">
                  <c:v>-69.49882553759335</c:v>
                </c:pt>
                <c:pt idx="6">
                  <c:v>-18.113190238965217</c:v>
                </c:pt>
                <c:pt idx="7">
                  <c:v>43.66170133091259</c:v>
                </c:pt>
                <c:pt idx="8">
                  <c:v>-158.5660964100441</c:v>
                </c:pt>
                <c:pt idx="9">
                  <c:v>163.67084686233397</c:v>
                </c:pt>
                <c:pt idx="10">
                  <c:v>166.97610242366886</c:v>
                </c:pt>
                <c:pt idx="11">
                  <c:v>67.87911934671638</c:v>
                </c:pt>
                <c:pt idx="12">
                  <c:v>172.4718822755699</c:v>
                </c:pt>
                <c:pt idx="13">
                  <c:v>93.65811831835026</c:v>
                </c:pt>
                <c:pt idx="14">
                  <c:v>152.45587126368127</c:v>
                </c:pt>
                <c:pt idx="15">
                  <c:v>157.8819768374765</c:v>
                </c:pt>
              </c:numCache>
            </c:numRef>
          </c:val>
        </c:ser>
        <c:axId val="34825840"/>
        <c:axId val="44997105"/>
      </c:barChart>
      <c:lineChart>
        <c:grouping val="standard"/>
        <c:varyColors val="0"/>
        <c:ser>
          <c:idx val="0"/>
          <c:order val="2"/>
          <c:tx>
            <c:strRef>
              <c:f>Data!$A$99</c:f>
              <c:strCache>
                <c:ptCount val="1"/>
                <c:pt idx="0">
                  <c:v>Total Property Tax (before tax credits)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Data!$E$99:$T$99</c:f>
              <c:numCache>
                <c:ptCount val="16"/>
                <c:pt idx="0">
                  <c:v>1560.442225140133</c:v>
                </c:pt>
                <c:pt idx="1">
                  <c:v>1703.8306918692929</c:v>
                </c:pt>
                <c:pt idx="2">
                  <c:v>1938.7798287079302</c:v>
                </c:pt>
                <c:pt idx="3">
                  <c:v>1997.775348110794</c:v>
                </c:pt>
                <c:pt idx="4">
                  <c:v>2016.7707509899615</c:v>
                </c:pt>
                <c:pt idx="5">
                  <c:v>1947.2719254523681</c:v>
                </c:pt>
                <c:pt idx="6">
                  <c:v>1929.158735213403</c:v>
                </c:pt>
                <c:pt idx="7">
                  <c:v>1972.8204365443155</c:v>
                </c:pt>
                <c:pt idx="8">
                  <c:v>1814.2543401342714</c:v>
                </c:pt>
                <c:pt idx="9">
                  <c:v>1977.9251869966054</c:v>
                </c:pt>
                <c:pt idx="10">
                  <c:v>2144.901289420274</c:v>
                </c:pt>
                <c:pt idx="11">
                  <c:v>2212.7804087669906</c:v>
                </c:pt>
                <c:pt idx="12">
                  <c:v>2385.2522910425605</c:v>
                </c:pt>
                <c:pt idx="13">
                  <c:v>2478.9104093609108</c:v>
                </c:pt>
                <c:pt idx="14">
                  <c:v>2631.366280624592</c:v>
                </c:pt>
                <c:pt idx="15">
                  <c:v>2789.2482574620685</c:v>
                </c:pt>
              </c:numCache>
            </c:numRef>
          </c:val>
          <c:smooth val="0"/>
        </c:ser>
        <c:marker val="1"/>
        <c:axId val="2320762"/>
        <c:axId val="20886859"/>
      </c:lineChart>
      <c:lineChart>
        <c:grouping val="standard"/>
        <c:varyColors val="0"/>
        <c:ser>
          <c:idx val="1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Data!$E$108:$T$108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4825840"/>
        <c:axId val="44997105"/>
      </c:lineChart>
      <c:catAx>
        <c:axId val="23207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At val="0"/>
        <c:auto val="1"/>
        <c:lblOffset val="50"/>
        <c:tickLblSkip val="1"/>
        <c:noMultiLvlLbl val="0"/>
      </c:cat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Total Taxes Paid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At val="1"/>
        <c:crossBetween val="between"/>
        <c:dispUnits/>
      </c:valAx>
      <c:catAx>
        <c:axId val="34825840"/>
        <c:scaling>
          <c:orientation val="minMax"/>
        </c:scaling>
        <c:axPos val="b"/>
        <c:delete val="1"/>
        <c:majorTickMark val="out"/>
        <c:minorTickMark val="none"/>
        <c:tickLblPos val="nextTo"/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Annual Increase or Decrease In Total Taxes Paid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  <c:crossAx val="348258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41"/>
          <c:w val="0.921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Data!$A$99</c:f>
              <c:strCache>
                <c:ptCount val="1"/>
                <c:pt idx="0">
                  <c:v>Total Property Tax (before tax credits)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Data!$E$99:$T$99</c:f>
              <c:numCache>
                <c:ptCount val="16"/>
                <c:pt idx="0">
                  <c:v>1560.442225140133</c:v>
                </c:pt>
                <c:pt idx="1">
                  <c:v>1703.8306918692929</c:v>
                </c:pt>
                <c:pt idx="2">
                  <c:v>1938.7798287079302</c:v>
                </c:pt>
                <c:pt idx="3">
                  <c:v>1997.775348110794</c:v>
                </c:pt>
                <c:pt idx="4">
                  <c:v>2016.7707509899615</c:v>
                </c:pt>
                <c:pt idx="5">
                  <c:v>1947.2719254523681</c:v>
                </c:pt>
                <c:pt idx="6">
                  <c:v>1929.158735213403</c:v>
                </c:pt>
                <c:pt idx="7">
                  <c:v>1972.8204365443155</c:v>
                </c:pt>
                <c:pt idx="8">
                  <c:v>1814.2543401342714</c:v>
                </c:pt>
                <c:pt idx="9">
                  <c:v>1977.9251869966054</c:v>
                </c:pt>
                <c:pt idx="10">
                  <c:v>2144.901289420274</c:v>
                </c:pt>
                <c:pt idx="11">
                  <c:v>2212.7804087669906</c:v>
                </c:pt>
                <c:pt idx="12">
                  <c:v>2385.2522910425605</c:v>
                </c:pt>
                <c:pt idx="13">
                  <c:v>2478.9104093609108</c:v>
                </c:pt>
                <c:pt idx="14">
                  <c:v>2631.366280624592</c:v>
                </c:pt>
                <c:pt idx="15">
                  <c:v>2789.2482574620685</c:v>
                </c:pt>
              </c:numCache>
            </c:numRef>
          </c:val>
          <c:smooth val="0"/>
        </c:ser>
        <c:ser>
          <c:idx val="2"/>
          <c:order val="2"/>
          <c:tx>
            <c:v>Base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Data!$E$7:$T$7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Data!$E$107:$T$107</c:f>
              <c:numCache>
                <c:ptCount val="16"/>
                <c:pt idx="0">
                  <c:v>1560.442225140133</c:v>
                </c:pt>
                <c:pt idx="1">
                  <c:v>1560.442225140133</c:v>
                </c:pt>
                <c:pt idx="2">
                  <c:v>1560.442225140133</c:v>
                </c:pt>
                <c:pt idx="3">
                  <c:v>1560.442225140133</c:v>
                </c:pt>
                <c:pt idx="4">
                  <c:v>1560.442225140133</c:v>
                </c:pt>
                <c:pt idx="5">
                  <c:v>1560.442225140133</c:v>
                </c:pt>
                <c:pt idx="6">
                  <c:v>1560.442225140133</c:v>
                </c:pt>
                <c:pt idx="7">
                  <c:v>1560.442225140133</c:v>
                </c:pt>
                <c:pt idx="8">
                  <c:v>1560.442225140133</c:v>
                </c:pt>
                <c:pt idx="9">
                  <c:v>1560.442225140133</c:v>
                </c:pt>
                <c:pt idx="10">
                  <c:v>1560.442225140133</c:v>
                </c:pt>
                <c:pt idx="11">
                  <c:v>1560.442225140133</c:v>
                </c:pt>
                <c:pt idx="12">
                  <c:v>1560.442225140133</c:v>
                </c:pt>
                <c:pt idx="13">
                  <c:v>1560.442225140133</c:v>
                </c:pt>
                <c:pt idx="14">
                  <c:v>1560.442225140133</c:v>
                </c:pt>
                <c:pt idx="15">
                  <c:v>1560.442225140133</c:v>
                </c:pt>
              </c:numCache>
            </c:numRef>
          </c:val>
          <c:smooth val="0"/>
        </c:ser>
        <c:marker val="1"/>
        <c:axId val="53764004"/>
        <c:axId val="14113989"/>
      </c:lineChart>
      <c:lineChart>
        <c:grouping val="standard"/>
        <c:varyColors val="0"/>
        <c:ser>
          <c:idx val="1"/>
          <c:order val="1"/>
          <c:tx>
            <c:v>House Value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Data!$E$98:$T$98</c:f>
              <c:numCache>
                <c:ptCount val="16"/>
                <c:pt idx="0">
                  <c:v>50000</c:v>
                </c:pt>
                <c:pt idx="1">
                  <c:v>53000</c:v>
                </c:pt>
                <c:pt idx="2">
                  <c:v>56180</c:v>
                </c:pt>
                <c:pt idx="3">
                  <c:v>59550.8</c:v>
                </c:pt>
                <c:pt idx="4">
                  <c:v>63123.848000000005</c:v>
                </c:pt>
                <c:pt idx="5">
                  <c:v>66911.27888000001</c:v>
                </c:pt>
                <c:pt idx="6">
                  <c:v>70925.95561280001</c:v>
                </c:pt>
                <c:pt idx="7">
                  <c:v>75181.51294956802</c:v>
                </c:pt>
                <c:pt idx="8">
                  <c:v>79692.40372654209</c:v>
                </c:pt>
                <c:pt idx="9">
                  <c:v>84473.94795013462</c:v>
                </c:pt>
                <c:pt idx="10">
                  <c:v>89542.3848271427</c:v>
                </c:pt>
                <c:pt idx="11">
                  <c:v>94914.92791677127</c:v>
                </c:pt>
                <c:pt idx="12">
                  <c:v>100609.82359177755</c:v>
                </c:pt>
                <c:pt idx="13">
                  <c:v>106646.4130072842</c:v>
                </c:pt>
                <c:pt idx="14">
                  <c:v>113045.19778772125</c:v>
                </c:pt>
                <c:pt idx="15">
                  <c:v>119827.90965498453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Property Tax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764004"/>
        <c:crossesAt val="1"/>
        <c:crossBetween val="between"/>
        <c:dispUnits/>
      </c:valAx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22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82431"/>
        <c:crosses val="max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Property Value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indexed="26"/>
  </sheetPr>
  <sheetViews>
    <sheetView workbookViewId="0" zoomScale="85"/>
  </sheetViews>
  <pageMargins left="0.75" right="0.75" top="0.75" bottom="0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>
    <tabColor indexed="26"/>
  </sheetPr>
  <sheetViews>
    <sheetView workbookViewId="0" zoomScale="80"/>
  </sheetViews>
  <pageMargins left="0.75" right="0.75" top="0.75" bottom="0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indexed="26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indexed="26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 zoomScale="85"/>
  </sheetViews>
  <pageMargins left="0.75" right="0.75" top="0.75" bottom="0.75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0.11625</cdr:y>
    </cdr:from>
    <cdr:to>
      <cdr:x>0.63025</cdr:x>
      <cdr:y>0.1555</cdr:y>
    </cdr:to>
    <cdr:sp textlink="Data!$A$110">
      <cdr:nvSpPr>
        <cdr:cNvPr id="1" name="Text Box 1"/>
        <cdr:cNvSpPr txBox="1">
          <a:spLocks noChangeArrowheads="1"/>
        </cdr:cNvSpPr>
      </cdr:nvSpPr>
      <cdr:spPr>
        <a:xfrm>
          <a:off x="2733675" y="685800"/>
          <a:ext cx="2733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303f2ca-da4b-4b97-991b-2c402129678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value = $50,000 in 1990</a:t>
          </a:fld>
        </a:p>
      </cdr:txBody>
    </cdr:sp>
  </cdr:relSizeAnchor>
  <cdr:relSizeAnchor xmlns:cdr="http://schemas.openxmlformats.org/drawingml/2006/chartDrawing">
    <cdr:from>
      <cdr:x>0.15525</cdr:x>
      <cdr:y>0.16575</cdr:y>
    </cdr:from>
    <cdr:to>
      <cdr:x>0.827</cdr:x>
      <cdr:y>0.205</cdr:y>
    </cdr:to>
    <cdr:sp textlink="Data!$A$109">
      <cdr:nvSpPr>
        <cdr:cNvPr id="2" name="Text Box 2"/>
        <cdr:cNvSpPr txBox="1">
          <a:spLocks noChangeArrowheads="1"/>
        </cdr:cNvSpPr>
      </cdr:nvSpPr>
      <cdr:spPr>
        <a:xfrm>
          <a:off x="1343025" y="971550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7dc52e2-e53a-4588-9980-a82ff16153c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increase in property valuation estimated at 6%</a:t>
          </a:fld>
        </a:p>
      </cdr:txBody>
    </cdr:sp>
  </cdr:relSizeAnchor>
  <cdr:relSizeAnchor xmlns:cdr="http://schemas.openxmlformats.org/drawingml/2006/chartDrawing">
    <cdr:from>
      <cdr:x>0.34375</cdr:x>
      <cdr:y>0.8545</cdr:y>
    </cdr:from>
    <cdr:to>
      <cdr:x>0.6845</cdr:x>
      <cdr:y>0.926</cdr:y>
    </cdr:to>
    <cdr:sp textlink="Data!$A$114">
      <cdr:nvSpPr>
        <cdr:cNvPr id="3" name="Text Box 3"/>
        <cdr:cNvSpPr txBox="1">
          <a:spLocks noChangeArrowheads="1"/>
        </cdr:cNvSpPr>
      </cdr:nvSpPr>
      <cdr:spPr>
        <a:xfrm>
          <a:off x="2981325" y="5048250"/>
          <a:ext cx="29527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9997629-6f99-4b28-9184-8053f6a6063e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total property tax grew by 79% between 1990 and 2005 or $1,229  ($82/year)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0.1995</cdr:y>
    </cdr:from>
    <cdr:to>
      <cdr:x>0.74375</cdr:x>
      <cdr:y>0.25525</cdr:y>
    </cdr:to>
    <cdr:sp textlink="Data!$A$114">
      <cdr:nvSpPr>
        <cdr:cNvPr id="1" name="Text Box 3"/>
        <cdr:cNvSpPr txBox="1">
          <a:spLocks noChangeArrowheads="1"/>
        </cdr:cNvSpPr>
      </cdr:nvSpPr>
      <cdr:spPr>
        <a:xfrm>
          <a:off x="3495675" y="1266825"/>
          <a:ext cx="2952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5c8dafe-66f0-4672-a78a-a5f1c1a0be80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total property tax grew by 79% between 1990 and 2005 or $1,229  ($82/year)</a:t>
          </a:fld>
        </a:p>
      </cdr:txBody>
    </cdr:sp>
  </cdr:relSizeAnchor>
  <cdr:relSizeAnchor xmlns:cdr="http://schemas.openxmlformats.org/drawingml/2006/chartDrawing">
    <cdr:from>
      <cdr:x>0.15625</cdr:x>
      <cdr:y>0.02275</cdr:y>
    </cdr:from>
    <cdr:to>
      <cdr:x>0.95425</cdr:x>
      <cdr:y>0.0625</cdr:y>
    </cdr:to>
    <cdr:sp textlink="Data!$A$108">
      <cdr:nvSpPr>
        <cdr:cNvPr id="2" name="Text Box 1"/>
        <cdr:cNvSpPr txBox="1">
          <a:spLocks noChangeArrowheads="1"/>
        </cdr:cNvSpPr>
      </cdr:nvSpPr>
      <cdr:spPr>
        <a:xfrm>
          <a:off x="1352550" y="142875"/>
          <a:ext cx="6924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8caff18-91d6-4aa9-a2dd-5f7c56e99b87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TAX ON HYPOTHETICAL PROPERTY IN CITY OF MAYVILLE (DODGE)</a:t>
          </a:fld>
        </a:p>
      </cdr:txBody>
    </cdr:sp>
  </cdr:relSizeAnchor>
  <cdr:relSizeAnchor xmlns:cdr="http://schemas.openxmlformats.org/drawingml/2006/chartDrawing">
    <cdr:from>
      <cdr:x>0.3755</cdr:x>
      <cdr:y>0.07425</cdr:y>
    </cdr:from>
    <cdr:to>
      <cdr:x>0.68575</cdr:x>
      <cdr:y>0.11075</cdr:y>
    </cdr:to>
    <cdr:sp textlink="Data!$A$110">
      <cdr:nvSpPr>
        <cdr:cNvPr id="3" name="Text Box 2"/>
        <cdr:cNvSpPr txBox="1">
          <a:spLocks noChangeArrowheads="1"/>
        </cdr:cNvSpPr>
      </cdr:nvSpPr>
      <cdr:spPr>
        <a:xfrm>
          <a:off x="3257550" y="466725"/>
          <a:ext cx="2695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5dfb1b0-d35a-42e3-8d25-cc50187270e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value = $50,000 in 1990</a:t>
          </a:fld>
        </a:p>
      </cdr:txBody>
    </cdr:sp>
  </cdr:relSizeAnchor>
  <cdr:relSizeAnchor xmlns:cdr="http://schemas.openxmlformats.org/drawingml/2006/chartDrawing">
    <cdr:from>
      <cdr:x>0.581</cdr:x>
      <cdr:y>0.44575</cdr:y>
    </cdr:from>
    <cdr:to>
      <cdr:x>0.90375</cdr:x>
      <cdr:y>0.50425</cdr:y>
    </cdr:to>
    <cdr:sp textlink="Data!$A$118">
      <cdr:nvSpPr>
        <cdr:cNvPr id="4" name="Text Box 4"/>
        <cdr:cNvSpPr txBox="1">
          <a:spLocks noChangeArrowheads="1"/>
        </cdr:cNvSpPr>
      </cdr:nvSpPr>
      <cdr:spPr>
        <a:xfrm>
          <a:off x="5038725" y="2838450"/>
          <a:ext cx="28003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38155f9-92f1-455b-af9e-a84e820dae58}" type="TxLink"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Your property value increased by 140% between 1990 and 2005 or $69,828</a:t>
          </a:fld>
        </a:p>
      </cdr:txBody>
    </cdr:sp>
  </cdr:relSizeAnchor>
  <cdr:relSizeAnchor xmlns:cdr="http://schemas.openxmlformats.org/drawingml/2006/chartDrawing">
    <cdr:from>
      <cdr:x>0.3675</cdr:x>
      <cdr:y>0.67125</cdr:y>
    </cdr:from>
    <cdr:to>
      <cdr:x>0.693</cdr:x>
      <cdr:y>0.70225</cdr:y>
    </cdr:to>
    <cdr:sp textlink="Data!$A$119">
      <cdr:nvSpPr>
        <cdr:cNvPr id="5" name="Rectangle 6"/>
        <cdr:cNvSpPr>
          <a:spLocks/>
        </cdr:cNvSpPr>
      </cdr:nvSpPr>
      <cdr:spPr>
        <a:xfrm>
          <a:off x="3181350" y="4276725"/>
          <a:ext cx="28289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 rate went from $31.21 to $23.28 or -25.4%</a:t>
          </a:r>
        </a:p>
      </cdr:txBody>
    </cdr:sp>
  </cdr:relSizeAnchor>
  <cdr:relSizeAnchor xmlns:cdr="http://schemas.openxmlformats.org/drawingml/2006/chartDrawing">
    <cdr:from>
      <cdr:x>0.3755</cdr:x>
      <cdr:y>0.72</cdr:y>
    </cdr:from>
    <cdr:to>
      <cdr:x>0.66275</cdr:x>
      <cdr:y>0.7505</cdr:y>
    </cdr:to>
    <cdr:sp textlink="Data!$A$120">
      <cdr:nvSpPr>
        <cdr:cNvPr id="6" name="Rectangle 8"/>
        <cdr:cNvSpPr>
          <a:spLocks/>
        </cdr:cNvSpPr>
      </cdr:nvSpPr>
      <cdr:spPr>
        <a:xfrm>
          <a:off x="3257550" y="4591050"/>
          <a:ext cx="249555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full value grew by 169%</a:t>
          </a:r>
        </a:p>
      </cdr:txBody>
    </cdr:sp>
  </cdr:relSizeAnchor>
  <cdr:relSizeAnchor xmlns:cdr="http://schemas.openxmlformats.org/drawingml/2006/chartDrawing">
    <cdr:from>
      <cdr:x>0.104</cdr:x>
      <cdr:y>0.125</cdr:y>
    </cdr:from>
    <cdr:to>
      <cdr:x>0.1795</cdr:x>
      <cdr:y>0.154</cdr:y>
    </cdr:to>
    <cdr:sp textlink="Data!$E$99">
      <cdr:nvSpPr>
        <cdr:cNvPr id="7" name="Rectangle 9"/>
        <cdr:cNvSpPr>
          <a:spLocks/>
        </cdr:cNvSpPr>
      </cdr:nvSpPr>
      <cdr:spPr>
        <a:xfrm>
          <a:off x="895350" y="790575"/>
          <a:ext cx="657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$1,560</a:t>
          </a:r>
        </a:p>
      </cdr:txBody>
    </cdr:sp>
  </cdr:relSizeAnchor>
  <cdr:relSizeAnchor xmlns:cdr="http://schemas.openxmlformats.org/drawingml/2006/chartDrawing">
    <cdr:from>
      <cdr:x>0.816</cdr:x>
      <cdr:y>0.12525</cdr:y>
    </cdr:from>
    <cdr:to>
      <cdr:x>0.894</cdr:x>
      <cdr:y>0.15425</cdr:y>
    </cdr:to>
    <cdr:sp textlink="Data!$S$99">
      <cdr:nvSpPr>
        <cdr:cNvPr id="8" name="Rectangle 10"/>
        <cdr:cNvSpPr>
          <a:spLocks/>
        </cdr:cNvSpPr>
      </cdr:nvSpPr>
      <cdr:spPr>
        <a:xfrm>
          <a:off x="7077075" y="790575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$2,631</a:t>
          </a:r>
        </a:p>
      </cdr:txBody>
    </cdr:sp>
  </cdr:relSizeAnchor>
  <cdr:relSizeAnchor xmlns:cdr="http://schemas.openxmlformats.org/drawingml/2006/chartDrawing">
    <cdr:from>
      <cdr:x>0.389</cdr:x>
      <cdr:y>0.775</cdr:y>
    </cdr:from>
    <cdr:to>
      <cdr:x>0.6485</cdr:x>
      <cdr:y>0.80375</cdr:y>
    </cdr:to>
    <cdr:sp textlink="Data!$A$130">
      <cdr:nvSpPr>
        <cdr:cNvPr id="9" name="Rectangle 11"/>
        <cdr:cNvSpPr>
          <a:spLocks/>
        </cdr:cNvSpPr>
      </cdr:nvSpPr>
      <cdr:spPr>
        <a:xfrm>
          <a:off x="3371850" y="4943475"/>
          <a:ext cx="2247900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 to 2005 Inflation Rate=48.9%</a:t>
          </a:r>
        </a:p>
      </cdr:txBody>
    </cdr:sp>
  </cdr:relSizeAnchor>
  <cdr:relSizeAnchor xmlns:cdr="http://schemas.openxmlformats.org/drawingml/2006/chartDrawing">
    <cdr:from>
      <cdr:x>0.20325</cdr:x>
      <cdr:y>0.82175</cdr:y>
    </cdr:from>
    <cdr:to>
      <cdr:x>0.854</cdr:x>
      <cdr:y>0.852</cdr:y>
    </cdr:to>
    <cdr:sp textlink="Data!$A$132">
      <cdr:nvSpPr>
        <cdr:cNvPr id="10" name="Rectangle 12"/>
        <cdr:cNvSpPr>
          <a:spLocks/>
        </cdr:cNvSpPr>
      </cdr:nvSpPr>
      <cdr:spPr>
        <a:xfrm>
          <a:off x="1762125" y="5238750"/>
          <a:ext cx="5648325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of your increased property value consumed by increased taxes=$8,534 (12.2%)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</xdr:row>
      <xdr:rowOff>152400</xdr:rowOff>
    </xdr:from>
    <xdr:to>
      <xdr:col>11</xdr:col>
      <xdr:colOff>161925</xdr:colOff>
      <xdr:row>28</xdr:row>
      <xdr:rowOff>38100</xdr:rowOff>
    </xdr:to>
    <xdr:sp macro="[0]!Insert_Levy_Numbers">
      <xdr:nvSpPr>
        <xdr:cNvPr id="1" name="AutoShape 3"/>
        <xdr:cNvSpPr>
          <a:spLocks/>
        </xdr:cNvSpPr>
      </xdr:nvSpPr>
      <xdr:spPr>
        <a:xfrm>
          <a:off x="7543800" y="4524375"/>
          <a:ext cx="1085850" cy="2095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Levy Numbers</a:t>
          </a:r>
        </a:p>
      </xdr:txBody>
    </xdr:sp>
    <xdr:clientData/>
  </xdr:twoCellAnchor>
  <xdr:twoCellAnchor>
    <xdr:from>
      <xdr:col>7</xdr:col>
      <xdr:colOff>676275</xdr:colOff>
      <xdr:row>26</xdr:row>
      <xdr:rowOff>152400</xdr:rowOff>
    </xdr:from>
    <xdr:to>
      <xdr:col>9</xdr:col>
      <xdr:colOff>142875</xdr:colOff>
      <xdr:row>28</xdr:row>
      <xdr:rowOff>47625</xdr:rowOff>
    </xdr:to>
    <xdr:sp macro="[0]!Insert_Total_Value">
      <xdr:nvSpPr>
        <xdr:cNvPr id="2" name="AutoShape 4"/>
        <xdr:cNvSpPr>
          <a:spLocks/>
        </xdr:cNvSpPr>
      </xdr:nvSpPr>
      <xdr:spPr>
        <a:xfrm>
          <a:off x="6134100" y="4524375"/>
          <a:ext cx="1152525" cy="2190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Tot. Value</a:t>
          </a:r>
        </a:p>
      </xdr:txBody>
    </xdr:sp>
    <xdr:clientData/>
  </xdr:twoCellAnchor>
  <xdr:twoCellAnchor>
    <xdr:from>
      <xdr:col>5</xdr:col>
      <xdr:colOff>514350</xdr:colOff>
      <xdr:row>26</xdr:row>
      <xdr:rowOff>152400</xdr:rowOff>
    </xdr:from>
    <xdr:to>
      <xdr:col>7</xdr:col>
      <xdr:colOff>209550</xdr:colOff>
      <xdr:row>28</xdr:row>
      <xdr:rowOff>47625</xdr:rowOff>
    </xdr:to>
    <xdr:sp macro="[0]!Insert_Your_Property_Value">
      <xdr:nvSpPr>
        <xdr:cNvPr id="3" name="AutoShape 5"/>
        <xdr:cNvSpPr>
          <a:spLocks/>
        </xdr:cNvSpPr>
      </xdr:nvSpPr>
      <xdr:spPr>
        <a:xfrm>
          <a:off x="4495800" y="4524375"/>
          <a:ext cx="1171575" cy="2190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Prop. Value</a:t>
          </a:r>
        </a:p>
      </xdr:txBody>
    </xdr:sp>
    <xdr:clientData/>
  </xdr:twoCellAnchor>
  <xdr:twoCellAnchor>
    <xdr:from>
      <xdr:col>9</xdr:col>
      <xdr:colOff>400050</xdr:colOff>
      <xdr:row>21</xdr:row>
      <xdr:rowOff>57150</xdr:rowOff>
    </xdr:from>
    <xdr:to>
      <xdr:col>11</xdr:col>
      <xdr:colOff>76200</xdr:colOff>
      <xdr:row>23</xdr:row>
      <xdr:rowOff>95250</xdr:rowOff>
    </xdr:to>
    <xdr:sp macro="[0]!Increase_by_X_percent">
      <xdr:nvSpPr>
        <xdr:cNvPr id="4" name="AutoShape 9"/>
        <xdr:cNvSpPr>
          <a:spLocks/>
        </xdr:cNvSpPr>
      </xdr:nvSpPr>
      <xdr:spPr>
        <a:xfrm>
          <a:off x="7543800" y="3600450"/>
          <a:ext cx="1000125" cy="3619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 Levies by X %</a:t>
          </a:r>
        </a:p>
      </xdr:txBody>
    </xdr:sp>
    <xdr:clientData/>
  </xdr:twoCellAnchor>
  <xdr:twoCellAnchor>
    <xdr:from>
      <xdr:col>7</xdr:col>
      <xdr:colOff>695325</xdr:colOff>
      <xdr:row>21</xdr:row>
      <xdr:rowOff>57150</xdr:rowOff>
    </xdr:from>
    <xdr:to>
      <xdr:col>9</xdr:col>
      <xdr:colOff>114300</xdr:colOff>
      <xdr:row>23</xdr:row>
      <xdr:rowOff>95250</xdr:rowOff>
    </xdr:to>
    <xdr:sp macro="[0]!Increase_Total_Value_By_X_Percent">
      <xdr:nvSpPr>
        <xdr:cNvPr id="5" name="AutoShape 10"/>
        <xdr:cNvSpPr>
          <a:spLocks/>
        </xdr:cNvSpPr>
      </xdr:nvSpPr>
      <xdr:spPr>
        <a:xfrm>
          <a:off x="6153150" y="3600450"/>
          <a:ext cx="1104900" cy="3619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 Total Value by X %</a:t>
          </a:r>
        </a:p>
      </xdr:txBody>
    </xdr:sp>
    <xdr:clientData/>
  </xdr:twoCellAnchor>
  <xdr:twoCellAnchor>
    <xdr:from>
      <xdr:col>5</xdr:col>
      <xdr:colOff>428625</xdr:colOff>
      <xdr:row>21</xdr:row>
      <xdr:rowOff>47625</xdr:rowOff>
    </xdr:from>
    <xdr:to>
      <xdr:col>7</xdr:col>
      <xdr:colOff>238125</xdr:colOff>
      <xdr:row>23</xdr:row>
      <xdr:rowOff>104775</xdr:rowOff>
    </xdr:to>
    <xdr:sp macro="[0]!Increase_your_property_value_by_X_percent">
      <xdr:nvSpPr>
        <xdr:cNvPr id="6" name="AutoShape 11"/>
        <xdr:cNvSpPr>
          <a:spLocks/>
        </xdr:cNvSpPr>
      </xdr:nvSpPr>
      <xdr:spPr>
        <a:xfrm>
          <a:off x="4410075" y="3590925"/>
          <a:ext cx="1285875" cy="38100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 Your Prop. Value by X %</a:t>
          </a:r>
        </a:p>
      </xdr:txBody>
    </xdr:sp>
    <xdr:clientData/>
  </xdr:twoCellAnchor>
  <xdr:twoCellAnchor>
    <xdr:from>
      <xdr:col>1</xdr:col>
      <xdr:colOff>0</xdr:colOff>
      <xdr:row>6</xdr:row>
      <xdr:rowOff>123825</xdr:rowOff>
    </xdr:from>
    <xdr:to>
      <xdr:col>12</xdr:col>
      <xdr:colOff>0</xdr:colOff>
      <xdr:row>6</xdr:row>
      <xdr:rowOff>123825</xdr:rowOff>
    </xdr:to>
    <xdr:sp>
      <xdr:nvSpPr>
        <xdr:cNvPr id="7" name="Line 13"/>
        <xdr:cNvSpPr>
          <a:spLocks/>
        </xdr:cNvSpPr>
      </xdr:nvSpPr>
      <xdr:spPr>
        <a:xfrm>
          <a:off x="504825" y="1200150"/>
          <a:ext cx="857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12</xdr:col>
      <xdr:colOff>0</xdr:colOff>
      <xdr:row>8</xdr:row>
      <xdr:rowOff>104775</xdr:rowOff>
    </xdr:to>
    <xdr:sp>
      <xdr:nvSpPr>
        <xdr:cNvPr id="8" name="Line 14"/>
        <xdr:cNvSpPr>
          <a:spLocks/>
        </xdr:cNvSpPr>
      </xdr:nvSpPr>
      <xdr:spPr>
        <a:xfrm>
          <a:off x="504825" y="1533525"/>
          <a:ext cx="857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3</xdr:row>
      <xdr:rowOff>0</xdr:rowOff>
    </xdr:from>
    <xdr:ext cx="1647825" cy="466725"/>
    <xdr:sp>
      <xdr:nvSpPr>
        <xdr:cNvPr id="1" name="AutoShape 13"/>
        <xdr:cNvSpPr>
          <a:spLocks/>
        </xdr:cNvSpPr>
      </xdr:nvSpPr>
      <xdr:spPr>
        <a:xfrm>
          <a:off x="7058025" y="819150"/>
          <a:ext cx="1647825" cy="466725"/>
        </a:xfrm>
        <a:prstGeom prst="wedgeRoundRectCallout">
          <a:avLst>
            <a:gd name="adj1" fmla="val -69083"/>
            <a:gd name="adj2" fmla="val -10135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1990 value of example property</a:t>
          </a:r>
        </a:p>
      </xdr:txBody>
    </xdr:sp>
    <xdr:clientData/>
  </xdr:oneCellAnchor>
  <xdr:twoCellAnchor>
    <xdr:from>
      <xdr:col>0</xdr:col>
      <xdr:colOff>1876425</xdr:colOff>
      <xdr:row>5</xdr:row>
      <xdr:rowOff>38100</xdr:rowOff>
    </xdr:from>
    <xdr:to>
      <xdr:col>1</xdr:col>
      <xdr:colOff>228600</xdr:colOff>
      <xdr:row>9</xdr:row>
      <xdr:rowOff>47625</xdr:rowOff>
    </xdr:to>
    <xdr:sp>
      <xdr:nvSpPr>
        <xdr:cNvPr id="2" name="AutoShape 14"/>
        <xdr:cNvSpPr>
          <a:spLocks/>
        </xdr:cNvSpPr>
      </xdr:nvSpPr>
      <xdr:spPr>
        <a:xfrm>
          <a:off x="1876425" y="1219200"/>
          <a:ext cx="3267075" cy="657225"/>
        </a:xfrm>
        <a:prstGeom prst="wedgeRoundRectCallout">
          <a:avLst>
            <a:gd name="adj1" fmla="val 56412"/>
            <a:gd name="adj2" fmla="val -1442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average annual % increase in value for example property.  If left blank, CPI value will be used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0.04825</cdr:y>
    </cdr:from>
    <cdr:to>
      <cdr:x>0.6565</cdr:x>
      <cdr:y>0.085</cdr:y>
    </cdr:to>
    <cdr:sp textlink="Data!$A$110">
      <cdr:nvSpPr>
        <cdr:cNvPr id="1" name="Text Box 1"/>
        <cdr:cNvSpPr txBox="1">
          <a:spLocks noChangeArrowheads="1"/>
        </cdr:cNvSpPr>
      </cdr:nvSpPr>
      <cdr:spPr>
        <a:xfrm>
          <a:off x="3009900" y="304800"/>
          <a:ext cx="2676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b4e4e2d-aac0-4b2c-97fc-bc12784f9ee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value = $50,000 in 1990</a:t>
          </a:fld>
        </a:p>
      </cdr:txBody>
    </cdr:sp>
  </cdr:relSizeAnchor>
  <cdr:relSizeAnchor xmlns:cdr="http://schemas.openxmlformats.org/drawingml/2006/chartDrawing">
    <cdr:from>
      <cdr:x>0.2</cdr:x>
      <cdr:y>0.0735</cdr:y>
    </cdr:from>
    <cdr:to>
      <cdr:x>0.86275</cdr:x>
      <cdr:y>0.11375</cdr:y>
    </cdr:to>
    <cdr:sp textlink="Data!$A$109">
      <cdr:nvSpPr>
        <cdr:cNvPr id="2" name="Text Box 2"/>
        <cdr:cNvSpPr txBox="1">
          <a:spLocks noChangeArrowheads="1"/>
        </cdr:cNvSpPr>
      </cdr:nvSpPr>
      <cdr:spPr>
        <a:xfrm>
          <a:off x="1733550" y="466725"/>
          <a:ext cx="5753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0daa823-9856-4697-9e87-76e8913c1c3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increase in property valuation estimated at 6%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0.053</cdr:y>
    </cdr:from>
    <cdr:to>
      <cdr:x>0.6765</cdr:x>
      <cdr:y>0.08975</cdr:y>
    </cdr:to>
    <cdr:sp textlink="Data!$A$110">
      <cdr:nvSpPr>
        <cdr:cNvPr id="1" name="Text Box 2"/>
        <cdr:cNvSpPr txBox="1">
          <a:spLocks noChangeArrowheads="1"/>
        </cdr:cNvSpPr>
      </cdr:nvSpPr>
      <cdr:spPr>
        <a:xfrm>
          <a:off x="3171825" y="333375"/>
          <a:ext cx="2695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fc5deb3-5424-483c-afea-1cd1586a6ae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value = $50,000 in 1990</a:t>
          </a:fld>
        </a:p>
      </cdr:txBody>
    </cdr:sp>
  </cdr:relSizeAnchor>
  <cdr:relSizeAnchor xmlns:cdr="http://schemas.openxmlformats.org/drawingml/2006/chartDrawing">
    <cdr:from>
      <cdr:x>0.16225</cdr:x>
      <cdr:y>0.089</cdr:y>
    </cdr:from>
    <cdr:to>
      <cdr:x>0.899</cdr:x>
      <cdr:y>0.11675</cdr:y>
    </cdr:to>
    <cdr:sp textlink="Data!$A$109">
      <cdr:nvSpPr>
        <cdr:cNvPr id="2" name="Text Box 3"/>
        <cdr:cNvSpPr txBox="1">
          <a:spLocks noChangeArrowheads="1"/>
        </cdr:cNvSpPr>
      </cdr:nvSpPr>
      <cdr:spPr>
        <a:xfrm>
          <a:off x="1400175" y="561975"/>
          <a:ext cx="639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11cb41f-2ea4-4063-bebc-ea2eaf9d2c6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increase in property valuation estimated at 6%</a:t>
          </a:fld>
        </a:p>
      </cdr:txBody>
    </cdr:sp>
  </cdr:relSizeAnchor>
  <cdr:relSizeAnchor xmlns:cdr="http://schemas.openxmlformats.org/drawingml/2006/chartDrawing">
    <cdr:from>
      <cdr:x>0.138</cdr:x>
      <cdr:y>0.3185</cdr:y>
    </cdr:from>
    <cdr:to>
      <cdr:x>0.4215</cdr:x>
      <cdr:y>0.393</cdr:y>
    </cdr:to>
    <cdr:grpSp>
      <cdr:nvGrpSpPr>
        <cdr:cNvPr id="3" name="Group 39"/>
        <cdr:cNvGrpSpPr>
          <a:grpSpLocks/>
        </cdr:cNvGrpSpPr>
      </cdr:nvGrpSpPr>
      <cdr:grpSpPr>
        <a:xfrm>
          <a:off x="1190625" y="2028825"/>
          <a:ext cx="2457450" cy="476250"/>
          <a:chOff x="1234488" y="1586463"/>
          <a:chExt cx="2267163" cy="467904"/>
        </a:xfrm>
        <a:solidFill>
          <a:srgbClr val="FFFFFF"/>
        </a:solidFill>
      </cdr:grpSpPr>
      <cdr:sp>
        <cdr:nvSpPr>
          <cdr:cNvPr id="4" name="Rectangle 14"/>
          <cdr:cNvSpPr>
            <a:spLocks/>
          </cdr:cNvSpPr>
        </cdr:nvSpPr>
        <cdr:spPr>
          <a:xfrm>
            <a:off x="1234488" y="1586463"/>
            <a:ext cx="2267163" cy="467904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textlink="Data!$A$111">
        <cdr:nvSpPr>
          <cdr:cNvPr id="5" name="AutoShape 8"/>
          <cdr:cNvSpPr>
            <a:spLocks/>
          </cdr:cNvSpPr>
        </cdr:nvSpPr>
        <cdr:spPr>
          <a:xfrm>
            <a:off x="1234488" y="1586463"/>
            <a:ext cx="2228621" cy="426962"/>
          </a:xfrm>
          <a:prstGeom prst="foldedCorner">
            <a:avLst/>
          </a:prstGeom>
          <a:solidFill>
            <a:srgbClr val="CCFFFF"/>
          </a:solidFill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Local tax increased by 144% between 1990 and 2005 or $449</a:t>
            </a:r>
          </a:p>
        </cdr:txBody>
      </cdr:sp>
    </cdr:grpSp>
  </cdr:relSizeAnchor>
  <cdr:relSizeAnchor xmlns:cdr="http://schemas.openxmlformats.org/drawingml/2006/chartDrawing">
    <cdr:from>
      <cdr:x>0.17375</cdr:x>
      <cdr:y>0.51875</cdr:y>
    </cdr:from>
    <cdr:to>
      <cdr:x>0.372</cdr:x>
      <cdr:y>0.63325</cdr:y>
    </cdr:to>
    <cdr:grpSp>
      <cdr:nvGrpSpPr>
        <cdr:cNvPr id="6" name="Group 40"/>
        <cdr:cNvGrpSpPr>
          <a:grpSpLocks/>
        </cdr:cNvGrpSpPr>
      </cdr:nvGrpSpPr>
      <cdr:grpSpPr>
        <a:xfrm>
          <a:off x="1504950" y="3305175"/>
          <a:ext cx="1724025" cy="733425"/>
          <a:chOff x="1234488" y="2797973"/>
          <a:chExt cx="1539352" cy="708945"/>
        </a:xfrm>
        <a:solidFill>
          <a:srgbClr val="FFFFFF"/>
        </a:solidFill>
      </cdr:grpSpPr>
      <cdr:sp>
        <cdr:nvSpPr>
          <cdr:cNvPr id="7" name="Rectangle 16"/>
          <cdr:cNvSpPr>
            <a:spLocks/>
          </cdr:cNvSpPr>
        </cdr:nvSpPr>
        <cdr:spPr>
          <a:xfrm>
            <a:off x="1234488" y="2797973"/>
            <a:ext cx="1539352" cy="708945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textlink="Data!$A$112">
        <cdr:nvSpPr>
          <cdr:cNvPr id="8" name="AutoShape 10"/>
          <cdr:cNvSpPr>
            <a:spLocks/>
          </cdr:cNvSpPr>
        </cdr:nvSpPr>
        <cdr:spPr>
          <a:xfrm>
            <a:off x="1234488" y="2797973"/>
            <a:ext cx="1498559" cy="663218"/>
          </a:xfrm>
          <a:prstGeom prst="foldedCorner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County tax increased by 140% between 1990 and 2005 or $405</a:t>
            </a:r>
          </a:p>
        </cdr:txBody>
      </cdr:sp>
    </cdr:grpSp>
  </cdr:relSizeAnchor>
  <cdr:relSizeAnchor xmlns:cdr="http://schemas.openxmlformats.org/drawingml/2006/chartDrawing">
    <cdr:from>
      <cdr:x>0.16225</cdr:x>
      <cdr:y>0.731</cdr:y>
    </cdr:from>
    <cdr:to>
      <cdr:x>0.45725</cdr:x>
      <cdr:y>0.8225</cdr:y>
    </cdr:to>
    <cdr:grpSp>
      <cdr:nvGrpSpPr>
        <cdr:cNvPr id="9" name="Group 41"/>
        <cdr:cNvGrpSpPr>
          <a:grpSpLocks/>
        </cdr:cNvGrpSpPr>
      </cdr:nvGrpSpPr>
      <cdr:grpSpPr>
        <a:xfrm>
          <a:off x="1400175" y="4657725"/>
          <a:ext cx="2562225" cy="581025"/>
          <a:chOff x="1234488" y="4392313"/>
          <a:chExt cx="2039588" cy="704219"/>
        </a:xfrm>
        <a:solidFill>
          <a:srgbClr val="FFFFFF"/>
        </a:solidFill>
      </cdr:grpSpPr>
      <cdr:sp>
        <cdr:nvSpPr>
          <cdr:cNvPr id="10" name="Rectangle 18"/>
          <cdr:cNvSpPr>
            <a:spLocks/>
          </cdr:cNvSpPr>
        </cdr:nvSpPr>
        <cdr:spPr>
          <a:xfrm>
            <a:off x="1234488" y="4392313"/>
            <a:ext cx="2039588" cy="704219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textlink="Data!$A$113">
        <cdr:nvSpPr>
          <cdr:cNvPr id="11" name="AutoShape 11"/>
          <cdr:cNvSpPr>
            <a:spLocks/>
          </cdr:cNvSpPr>
        </cdr:nvSpPr>
        <cdr:spPr>
          <a:xfrm>
            <a:off x="1234488" y="4392313"/>
            <a:ext cx="1977381" cy="658445"/>
          </a:xfrm>
          <a:prstGeom prst="foldedCorner">
            <a:avLst>
              <a:gd name="adj" fmla="val 34754"/>
            </a:avLst>
          </a:prstGeom>
          <a:solidFill>
            <a:srgbClr val="9999FF"/>
          </a:solidFill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School district tax increased by 29% between 1990 and 2005 or $245</a:t>
            </a:r>
          </a:p>
        </cdr:txBody>
      </cdr:sp>
    </cdr:grpSp>
  </cdr:relSizeAnchor>
  <cdr:relSizeAnchor xmlns:cdr="http://schemas.openxmlformats.org/drawingml/2006/chartDrawing">
    <cdr:from>
      <cdr:x>0.45725</cdr:x>
      <cdr:y>0.2085</cdr:y>
    </cdr:from>
    <cdr:to>
      <cdr:x>0.7685</cdr:x>
      <cdr:y>0.28325</cdr:y>
    </cdr:to>
    <cdr:grpSp>
      <cdr:nvGrpSpPr>
        <cdr:cNvPr id="12" name="Group 43"/>
        <cdr:cNvGrpSpPr>
          <a:grpSpLocks/>
        </cdr:cNvGrpSpPr>
      </cdr:nvGrpSpPr>
      <cdr:grpSpPr>
        <a:xfrm>
          <a:off x="3962400" y="1323975"/>
          <a:ext cx="2705100" cy="476250"/>
          <a:chOff x="5622823" y="2084301"/>
          <a:chExt cx="2518355" cy="719973"/>
        </a:xfrm>
        <a:solidFill>
          <a:srgbClr val="FFFFFF"/>
        </a:solidFill>
      </cdr:grpSpPr>
      <cdr:sp>
        <cdr:nvSpPr>
          <cdr:cNvPr id="13" name="Rectangle 21"/>
          <cdr:cNvSpPr>
            <a:spLocks/>
          </cdr:cNvSpPr>
        </cdr:nvSpPr>
        <cdr:spPr>
          <a:xfrm>
            <a:off x="5622823" y="2084301"/>
            <a:ext cx="2518355" cy="719973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textlink="Data!$A$115">
        <cdr:nvSpPr>
          <cdr:cNvPr id="14" name="AutoShape 22"/>
          <cdr:cNvSpPr>
            <a:spLocks/>
          </cdr:cNvSpPr>
        </cdr:nvSpPr>
        <cdr:spPr>
          <a:xfrm>
            <a:off x="5622823" y="2084301"/>
            <a:ext cx="2469247" cy="656975"/>
          </a:xfrm>
          <a:prstGeom prst="foldedCorner">
            <a:avLst/>
          </a:prstGeom>
          <a:solidFill>
            <a:srgbClr val="FF99CC"/>
          </a:solidFill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property taxes increased by 80% between 1990 and 2005 or $39</a:t>
            </a:r>
          </a:p>
        </cdr:txBody>
      </cdr:sp>
    </cdr:grpSp>
  </cdr:relSizeAnchor>
  <cdr:relSizeAnchor xmlns:cdr="http://schemas.openxmlformats.org/drawingml/2006/chartDrawing">
    <cdr:from>
      <cdr:x>0.7015</cdr:x>
      <cdr:y>0.7215</cdr:y>
    </cdr:from>
    <cdr:to>
      <cdr:x>0.96875</cdr:x>
      <cdr:y>0.81525</cdr:y>
    </cdr:to>
    <cdr:grpSp>
      <cdr:nvGrpSpPr>
        <cdr:cNvPr id="15" name="Group 42"/>
        <cdr:cNvGrpSpPr>
          <a:grpSpLocks/>
        </cdr:cNvGrpSpPr>
      </cdr:nvGrpSpPr>
      <cdr:grpSpPr>
        <a:xfrm>
          <a:off x="6086475" y="4600575"/>
          <a:ext cx="2314575" cy="600075"/>
          <a:chOff x="6144528" y="4683768"/>
          <a:chExt cx="2091115" cy="713672"/>
        </a:xfrm>
        <a:solidFill>
          <a:srgbClr val="FFFFFF"/>
        </a:solidFill>
      </cdr:grpSpPr>
      <cdr:sp>
        <cdr:nvSpPr>
          <cdr:cNvPr id="16" name="Rectangle 26"/>
          <cdr:cNvSpPr>
            <a:spLocks/>
          </cdr:cNvSpPr>
        </cdr:nvSpPr>
        <cdr:spPr>
          <a:xfrm>
            <a:off x="6144528" y="4683768"/>
            <a:ext cx="2091115" cy="713672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textlink="Data!$A$116">
        <cdr:nvSpPr>
          <cdr:cNvPr id="17" name="AutoShape 27"/>
          <cdr:cNvSpPr>
            <a:spLocks/>
          </cdr:cNvSpPr>
        </cdr:nvSpPr>
        <cdr:spPr>
          <a:xfrm>
            <a:off x="6144528" y="4683768"/>
            <a:ext cx="2050338" cy="667997"/>
          </a:xfrm>
          <a:prstGeom prst="foldedCorner">
            <a:avLst/>
          </a:pr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Tech College property tax increased by 120% between 1990 and 2005 or $92</a:t>
            </a:r>
          </a:p>
        </cdr:txBody>
      </cdr:sp>
    </cdr:grpSp>
  </cdr:relSizeAnchor>
  <cdr:relSizeAnchor xmlns:cdr="http://schemas.openxmlformats.org/drawingml/2006/chartDrawing">
    <cdr:from>
      <cdr:x>0.39725</cdr:x>
      <cdr:y>0.8825</cdr:y>
    </cdr:from>
    <cdr:to>
      <cdr:x>0.65975</cdr:x>
      <cdr:y>0.9105</cdr:y>
    </cdr:to>
    <cdr:sp textlink="Data!$A$130">
      <cdr:nvSpPr>
        <cdr:cNvPr id="18" name="Rectangle 45"/>
        <cdr:cNvSpPr>
          <a:spLocks/>
        </cdr:cNvSpPr>
      </cdr:nvSpPr>
      <cdr:spPr>
        <a:xfrm>
          <a:off x="3438525" y="5629275"/>
          <a:ext cx="2276475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 to 2005 Inflation Rate=48.9%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0.04775</cdr:y>
    </cdr:from>
    <cdr:to>
      <cdr:x>0.6575</cdr:x>
      <cdr:y>0.0915</cdr:y>
    </cdr:to>
    <cdr:sp textlink="Data!$A$110">
      <cdr:nvSpPr>
        <cdr:cNvPr id="1" name="Text Box 1"/>
        <cdr:cNvSpPr txBox="1">
          <a:spLocks noChangeArrowheads="1"/>
        </cdr:cNvSpPr>
      </cdr:nvSpPr>
      <cdr:spPr>
        <a:xfrm>
          <a:off x="3009900" y="276225"/>
          <a:ext cx="2686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16d4db3-1811-4b17-8796-e345e257f6d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value = $50,000 in 1990</a:t>
          </a:fld>
        </a:p>
      </cdr:txBody>
    </cdr:sp>
  </cdr:relSizeAnchor>
  <cdr:relSizeAnchor xmlns:cdr="http://schemas.openxmlformats.org/drawingml/2006/chartDrawing">
    <cdr:from>
      <cdr:x>0.17175</cdr:x>
      <cdr:y>0.08075</cdr:y>
    </cdr:from>
    <cdr:to>
      <cdr:x>0.8325</cdr:x>
      <cdr:y>0.12425</cdr:y>
    </cdr:to>
    <cdr:sp textlink="Data!$A$109">
      <cdr:nvSpPr>
        <cdr:cNvPr id="2" name="Text Box 2"/>
        <cdr:cNvSpPr txBox="1">
          <a:spLocks noChangeArrowheads="1"/>
        </cdr:cNvSpPr>
      </cdr:nvSpPr>
      <cdr:spPr>
        <a:xfrm>
          <a:off x="1485900" y="476250"/>
          <a:ext cx="573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e8130f0-b8c8-49d9-bd8d-75d7c07b007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increase in property valuation estimated at 6%</a:t>
          </a:fld>
        </a:p>
      </cdr:txBody>
    </cdr:sp>
  </cdr:relSizeAnchor>
  <cdr:relSizeAnchor xmlns:cdr="http://schemas.openxmlformats.org/drawingml/2006/chartDrawing">
    <cdr:from>
      <cdr:x>0.11225</cdr:x>
      <cdr:y>0.145</cdr:y>
    </cdr:from>
    <cdr:to>
      <cdr:x>0.17175</cdr:x>
      <cdr:y>0.1775</cdr:y>
    </cdr:to>
    <cdr:sp textlink="Data!$E$99">
      <cdr:nvSpPr>
        <cdr:cNvPr id="3" name="Rectangle 3"/>
        <cdr:cNvSpPr>
          <a:spLocks/>
        </cdr:cNvSpPr>
      </cdr:nvSpPr>
      <cdr:spPr>
        <a:xfrm>
          <a:off x="971550" y="85725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$1,560</a:t>
          </a:r>
        </a:p>
      </cdr:txBody>
    </cdr:sp>
  </cdr:relSizeAnchor>
  <cdr:relSizeAnchor xmlns:cdr="http://schemas.openxmlformats.org/drawingml/2006/chartDrawing">
    <cdr:from>
      <cdr:x>0.86575</cdr:x>
      <cdr:y>0.136</cdr:y>
    </cdr:from>
    <cdr:to>
      <cdr:x>0.95775</cdr:x>
      <cdr:y>0.16825</cdr:y>
    </cdr:to>
    <cdr:sp textlink="Data!$S$99">
      <cdr:nvSpPr>
        <cdr:cNvPr id="4" name="Rectangle 5"/>
        <cdr:cNvSpPr>
          <a:spLocks/>
        </cdr:cNvSpPr>
      </cdr:nvSpPr>
      <cdr:spPr>
        <a:xfrm>
          <a:off x="7505700" y="8001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$2,631</a:t>
          </a:r>
        </a:p>
      </cdr:txBody>
    </cdr:sp>
  </cdr:relSizeAnchor>
  <cdr:relSizeAnchor xmlns:cdr="http://schemas.openxmlformats.org/drawingml/2006/chartDrawing">
    <cdr:from>
      <cdr:x>0.45825</cdr:x>
      <cdr:y>0.136</cdr:y>
    </cdr:from>
    <cdr:to>
      <cdr:x>0.552</cdr:x>
      <cdr:y>0.16825</cdr:y>
    </cdr:to>
    <cdr:sp textlink="Data!$K$99">
      <cdr:nvSpPr>
        <cdr:cNvPr id="5" name="Rectangle 6"/>
        <cdr:cNvSpPr>
          <a:spLocks/>
        </cdr:cNvSpPr>
      </cdr:nvSpPr>
      <cdr:spPr>
        <a:xfrm>
          <a:off x="3971925" y="8001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$1,929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0.17425</cdr:y>
    </cdr:from>
    <cdr:to>
      <cdr:x>0.6945</cdr:x>
      <cdr:y>0.234</cdr:y>
    </cdr:to>
    <cdr:sp textlink="Data!$A$114">
      <cdr:nvSpPr>
        <cdr:cNvPr id="1" name="Text Box 6"/>
        <cdr:cNvSpPr txBox="1">
          <a:spLocks noChangeArrowheads="1"/>
        </cdr:cNvSpPr>
      </cdr:nvSpPr>
      <cdr:spPr>
        <a:xfrm>
          <a:off x="3105150" y="1028700"/>
          <a:ext cx="29146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8707dfa-ea1e-461b-9245-5368d7667893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total property tax grew by 79% between 1990 and 2005 or $1,229  ($82/year)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4:L30"/>
  <sheetViews>
    <sheetView tabSelected="1" zoomScale="95" zoomScaleNormal="95" zoomScalePageLayoutView="0" workbookViewId="0" topLeftCell="A1">
      <selection activeCell="K17" sqref="K17"/>
    </sheetView>
  </sheetViews>
  <sheetFormatPr defaultColWidth="9.140625" defaultRowHeight="12.75"/>
  <cols>
    <col min="1" max="1" width="7.57421875" style="0" customWidth="1"/>
    <col min="2" max="2" width="11.7109375" style="0" customWidth="1"/>
    <col min="3" max="3" width="10.57421875" style="0" customWidth="1"/>
    <col min="4" max="4" width="14.7109375" style="0" customWidth="1"/>
    <col min="5" max="5" width="15.140625" style="0" customWidth="1"/>
    <col min="6" max="6" width="11.7109375" style="0" customWidth="1"/>
    <col min="7" max="7" width="10.421875" style="0" customWidth="1"/>
    <col min="8" max="8" width="14.7109375" style="0" customWidth="1"/>
    <col min="9" max="9" width="10.57421875" style="0" customWidth="1"/>
    <col min="10" max="10" width="6.00390625" style="0" customWidth="1"/>
    <col min="11" max="11" width="13.8515625" style="0" customWidth="1"/>
  </cols>
  <sheetData>
    <row r="4" spans="2:7" ht="18">
      <c r="B4" s="73" t="s">
        <v>181</v>
      </c>
      <c r="C4" s="74"/>
      <c r="D4" s="74"/>
      <c r="E4" s="74"/>
      <c r="F4" s="74"/>
      <c r="G4" s="75"/>
    </row>
    <row r="5" ht="15.75">
      <c r="B5" s="29"/>
    </row>
    <row r="6" spans="2:12" ht="12.75">
      <c r="B6" s="76" t="s">
        <v>161</v>
      </c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2:12" ht="12.75">
      <c r="B7" s="61"/>
      <c r="C7" s="57"/>
      <c r="D7" s="57"/>
      <c r="E7" s="57"/>
      <c r="F7" s="57"/>
      <c r="G7" s="57"/>
      <c r="H7" s="57"/>
      <c r="I7" s="57"/>
      <c r="J7" s="57"/>
      <c r="K7" s="57"/>
      <c r="L7" s="62"/>
    </row>
    <row r="8" spans="2:12" ht="15">
      <c r="B8" s="63" t="s">
        <v>160</v>
      </c>
      <c r="C8" s="57"/>
      <c r="D8" s="57"/>
      <c r="E8" s="57"/>
      <c r="F8" s="58"/>
      <c r="G8" s="57"/>
      <c r="H8" s="57"/>
      <c r="I8" s="57"/>
      <c r="J8" s="57"/>
      <c r="K8" s="57"/>
      <c r="L8" s="62"/>
    </row>
    <row r="9" spans="2:12" ht="12.75">
      <c r="B9" s="61"/>
      <c r="C9" s="57"/>
      <c r="D9" s="57"/>
      <c r="E9" s="57"/>
      <c r="F9" s="57"/>
      <c r="G9" s="57"/>
      <c r="H9" s="57"/>
      <c r="I9" s="57"/>
      <c r="J9" s="57"/>
      <c r="K9" s="57"/>
      <c r="L9" s="62"/>
    </row>
    <row r="10" spans="2:12" ht="12.75">
      <c r="B10" s="63" t="s">
        <v>179</v>
      </c>
      <c r="C10" s="57"/>
      <c r="D10" s="57"/>
      <c r="E10" s="57"/>
      <c r="F10" s="57"/>
      <c r="G10" s="57"/>
      <c r="H10" s="57"/>
      <c r="I10" s="57"/>
      <c r="J10" s="57"/>
      <c r="K10" s="57"/>
      <c r="L10" s="62"/>
    </row>
    <row r="11" spans="2:12" ht="12.75">
      <c r="B11" s="64"/>
      <c r="C11" s="65"/>
      <c r="D11" s="66"/>
      <c r="E11" s="65"/>
      <c r="F11" s="65"/>
      <c r="G11" s="65"/>
      <c r="H11" s="65"/>
      <c r="I11" s="65"/>
      <c r="J11" s="65"/>
      <c r="K11" s="65"/>
      <c r="L11" s="67"/>
    </row>
    <row r="14" spans="1:8" ht="12.75">
      <c r="A14" s="90" t="str">
        <f>Data!A4&amp;" "&amp;Data!T7</f>
        <v>CITY OF MAYVILLE (DODGE) 2005</v>
      </c>
      <c r="B14" s="89"/>
      <c r="D14" s="80">
        <f>D16/$K$16</f>
        <v>0.28688121681572915</v>
      </c>
      <c r="E14" s="80">
        <f>E16/$K$16</f>
        <v>0.40721532391373483</v>
      </c>
      <c r="F14" s="80">
        <f>F16/$K$16</f>
        <v>0.26111419985555917</v>
      </c>
      <c r="G14" s="80">
        <f>G16/$K$16</f>
        <v>0.06330020028131464</v>
      </c>
      <c r="H14" s="80">
        <f>H16/$K$16</f>
        <v>0.032920376895367635</v>
      </c>
    </row>
    <row r="15" spans="2:12" ht="12.75">
      <c r="B15" s="40"/>
      <c r="C15" s="40"/>
      <c r="D15" s="41" t="s">
        <v>154</v>
      </c>
      <c r="E15" s="42" t="s">
        <v>155</v>
      </c>
      <c r="F15" s="42" t="s">
        <v>156</v>
      </c>
      <c r="G15" s="42" t="s">
        <v>157</v>
      </c>
      <c r="H15" s="42" t="s">
        <v>158</v>
      </c>
      <c r="I15" s="42" t="s">
        <v>162</v>
      </c>
      <c r="J15" s="40"/>
      <c r="K15" s="40"/>
      <c r="L15" s="40"/>
    </row>
    <row r="16" spans="1:12" ht="12.75">
      <c r="A16" s="24"/>
      <c r="B16" s="43" t="s">
        <v>87</v>
      </c>
      <c r="C16" s="44" t="s">
        <v>147</v>
      </c>
      <c r="D16" s="45">
        <f>Data!T89</f>
        <v>1982436.75</v>
      </c>
      <c r="E16" s="45">
        <f>Data!T86</f>
        <v>2813982.15</v>
      </c>
      <c r="F16" s="45">
        <f>Data!T88</f>
        <v>1804378.8</v>
      </c>
      <c r="G16" s="45">
        <f>Data!T87</f>
        <v>437423.7</v>
      </c>
      <c r="H16" s="45">
        <f>Data!T90</f>
        <v>227489.85</v>
      </c>
      <c r="I16" s="45">
        <f>Data!T83</f>
        <v>355406.10000000003</v>
      </c>
      <c r="J16" s="44" t="s">
        <v>147</v>
      </c>
      <c r="K16" s="86">
        <f>D16+E16+F16+G16+H16-I16</f>
        <v>6910305.15</v>
      </c>
      <c r="L16" s="40"/>
    </row>
    <row r="17" spans="2:12" ht="12.75">
      <c r="B17" s="40"/>
      <c r="C17" s="40"/>
      <c r="D17" s="47"/>
      <c r="E17" s="46"/>
      <c r="F17" s="47"/>
      <c r="G17" s="46"/>
      <c r="H17" s="46"/>
      <c r="I17" s="46"/>
      <c r="J17" s="40"/>
      <c r="K17" s="85">
        <f>D16+E16+F16+G16+H16-I16</f>
        <v>6910305.15</v>
      </c>
      <c r="L17" s="40"/>
    </row>
    <row r="18" spans="1:12" ht="12.75">
      <c r="A18" s="24"/>
      <c r="B18" s="55" t="s">
        <v>148</v>
      </c>
      <c r="C18" s="44" t="s">
        <v>147</v>
      </c>
      <c r="D18" s="48">
        <f>E18</f>
        <v>296871225</v>
      </c>
      <c r="E18" s="46">
        <f>Data!T80</f>
        <v>296871225</v>
      </c>
      <c r="F18" s="49"/>
      <c r="G18" s="44" t="s">
        <v>147</v>
      </c>
      <c r="H18" s="81">
        <f>D18</f>
        <v>296871225</v>
      </c>
      <c r="I18" s="40"/>
      <c r="J18" s="40"/>
      <c r="K18" s="40"/>
      <c r="L18" s="40"/>
    </row>
    <row r="19" spans="2:12" ht="12.75">
      <c r="B19" s="50"/>
      <c r="C19" s="40"/>
      <c r="D19" s="51"/>
      <c r="E19" s="40"/>
      <c r="F19" s="40"/>
      <c r="G19" s="40"/>
      <c r="H19" s="40"/>
      <c r="I19" s="40"/>
      <c r="J19" s="40"/>
      <c r="K19" s="40"/>
      <c r="L19" s="40"/>
    </row>
    <row r="20" spans="1:12" ht="12.75">
      <c r="A20" s="56"/>
      <c r="B20" s="43" t="s">
        <v>159</v>
      </c>
      <c r="C20" s="44" t="s">
        <v>147</v>
      </c>
      <c r="D20" s="54" t="str">
        <f>TEXT(K16,"$#,###")&amp;" / "&amp;TEXT(H18,"$#,###")</f>
        <v>$6,910,305 / $296,871,225</v>
      </c>
      <c r="E20" s="40"/>
      <c r="F20" s="44" t="s">
        <v>147</v>
      </c>
      <c r="G20" s="52">
        <f>(K16/H18)</f>
        <v>0.023277113334241137</v>
      </c>
      <c r="H20" s="44" t="s">
        <v>147</v>
      </c>
      <c r="I20" s="82">
        <f>G20*1000</f>
        <v>23.277113334241136</v>
      </c>
      <c r="J20" s="40" t="s">
        <v>151</v>
      </c>
      <c r="K20" s="40"/>
      <c r="L20" s="40"/>
    </row>
    <row r="21" spans="2:12" ht="13.5" thickBot="1">
      <c r="B21" s="40"/>
      <c r="C21" s="40"/>
      <c r="D21" s="51"/>
      <c r="E21" s="40"/>
      <c r="F21" s="40"/>
      <c r="G21" s="78">
        <f>K17/E18</f>
        <v>0.023277113334241137</v>
      </c>
      <c r="H21" s="40"/>
      <c r="I21" s="91">
        <f>G21*1000</f>
        <v>23.277113334241136</v>
      </c>
      <c r="J21" s="40"/>
      <c r="K21" s="40"/>
      <c r="L21" s="40"/>
    </row>
    <row r="22" spans="2:12" ht="12.75">
      <c r="B22" s="40"/>
      <c r="C22" s="40"/>
      <c r="D22" s="53"/>
      <c r="E22" s="53"/>
      <c r="F22" s="30"/>
      <c r="G22" s="31"/>
      <c r="H22" s="31"/>
      <c r="I22" s="31"/>
      <c r="J22" s="31"/>
      <c r="K22" s="31"/>
      <c r="L22" s="32"/>
    </row>
    <row r="23" spans="1:12" ht="12.75">
      <c r="A23" s="24"/>
      <c r="B23" s="54" t="s">
        <v>150</v>
      </c>
      <c r="C23" s="40"/>
      <c r="D23" s="48">
        <f>E23</f>
        <v>119827.90965498453</v>
      </c>
      <c r="E23" s="77">
        <f>Data!T98</f>
        <v>119827.90965498453</v>
      </c>
      <c r="F23" s="33"/>
      <c r="G23" s="34"/>
      <c r="H23" s="34"/>
      <c r="I23" s="34"/>
      <c r="J23" s="34"/>
      <c r="K23" s="34"/>
      <c r="L23" s="35"/>
    </row>
    <row r="24" spans="2:12" ht="12.75">
      <c r="B24" s="40"/>
      <c r="C24" s="40"/>
      <c r="D24" s="53"/>
      <c r="E24" s="53"/>
      <c r="F24" s="33"/>
      <c r="G24" s="34"/>
      <c r="H24" s="34"/>
      <c r="I24" s="34"/>
      <c r="J24" s="34"/>
      <c r="K24" s="34"/>
      <c r="L24" s="35"/>
    </row>
    <row r="25" spans="1:12" ht="13.5" thickBot="1">
      <c r="A25" s="24"/>
      <c r="B25" s="70" t="s">
        <v>149</v>
      </c>
      <c r="C25" s="71"/>
      <c r="D25" s="72">
        <f>D23*G20</f>
        <v>2789.2478336442828</v>
      </c>
      <c r="E25" s="46">
        <f>E23*G21</f>
        <v>2789.2478336442828</v>
      </c>
      <c r="F25" s="33"/>
      <c r="G25" s="68" t="s">
        <v>152</v>
      </c>
      <c r="H25" s="34"/>
      <c r="I25" s="68" t="s">
        <v>152</v>
      </c>
      <c r="J25" s="34"/>
      <c r="K25" s="68" t="s">
        <v>152</v>
      </c>
      <c r="L25" s="35"/>
    </row>
    <row r="26" spans="2:12" ht="13.5" thickBot="1">
      <c r="B26" s="40"/>
      <c r="C26" s="40"/>
      <c r="D26" s="53"/>
      <c r="E26" s="53"/>
      <c r="F26" s="33"/>
      <c r="G26" s="69">
        <v>0</v>
      </c>
      <c r="H26" s="34"/>
      <c r="I26" s="69">
        <v>0</v>
      </c>
      <c r="J26" s="34"/>
      <c r="K26" s="69">
        <v>0</v>
      </c>
      <c r="L26" s="35"/>
    </row>
    <row r="27" spans="2:12" ht="12.75">
      <c r="B27" s="40"/>
      <c r="C27" s="70" t="s">
        <v>153</v>
      </c>
      <c r="D27" s="72">
        <f>D25-E25</f>
        <v>0</v>
      </c>
      <c r="E27" s="79">
        <f>D27/E25</f>
        <v>0</v>
      </c>
      <c r="F27" s="33"/>
      <c r="G27" s="34"/>
      <c r="H27" s="34"/>
      <c r="I27" s="34"/>
      <c r="J27" s="34"/>
      <c r="K27" s="34"/>
      <c r="L27" s="35"/>
    </row>
    <row r="28" spans="5:12" ht="12.75">
      <c r="E28" s="39"/>
      <c r="F28" s="33"/>
      <c r="G28" s="34"/>
      <c r="H28" s="34"/>
      <c r="I28" s="34"/>
      <c r="J28" s="34"/>
      <c r="K28" s="34"/>
      <c r="L28" s="35"/>
    </row>
    <row r="29" spans="5:12" ht="12.75">
      <c r="E29" s="39"/>
      <c r="F29" s="33"/>
      <c r="G29" s="34"/>
      <c r="H29" s="34"/>
      <c r="I29" s="34"/>
      <c r="J29" s="34"/>
      <c r="K29" s="34"/>
      <c r="L29" s="35"/>
    </row>
    <row r="30" spans="5:12" ht="13.5" thickBot="1">
      <c r="E30" s="39"/>
      <c r="F30" s="36"/>
      <c r="G30" s="37"/>
      <c r="H30" s="37"/>
      <c r="I30" s="37"/>
      <c r="J30" s="37"/>
      <c r="K30" s="37"/>
      <c r="L30" s="38"/>
    </row>
  </sheetData>
  <sheetProtection/>
  <conditionalFormatting sqref="I20">
    <cfRule type="expression" priority="1" dxfId="2" stopIfTrue="1">
      <formula>$G$20&gt;$G$21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C199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73.7109375" style="0" customWidth="1"/>
    <col min="2" max="2" width="15.7109375" style="0" customWidth="1"/>
    <col min="3" max="3" width="16.00390625" style="0" customWidth="1"/>
    <col min="4" max="4" width="12.00390625" style="0" customWidth="1"/>
    <col min="5" max="19" width="10.00390625" style="0" customWidth="1"/>
    <col min="20" max="20" width="10.8515625" style="0" customWidth="1"/>
  </cols>
  <sheetData>
    <row r="1" spans="1:3" ht="26.25" thickBot="1">
      <c r="A1" s="1" t="str">
        <f>IF(A4&lt;&gt;"Dodge County",LEFT(A4,LEN(A4)-8),A4)</f>
        <v>CITY OF MAYVILLE</v>
      </c>
      <c r="B1" s="8" t="s">
        <v>92</v>
      </c>
      <c r="C1" s="8" t="s">
        <v>85</v>
      </c>
    </row>
    <row r="2" spans="1:29" ht="24" thickBot="1" thickTop="1">
      <c r="A2" s="6" t="s">
        <v>83</v>
      </c>
      <c r="B2" s="27">
        <v>6</v>
      </c>
      <c r="C2" s="28">
        <v>50000</v>
      </c>
      <c r="D2" s="2">
        <f aca="true" t="shared" si="0" ref="D2:AC2">(D3-C3)/C3</f>
        <v>0.04774535809018572</v>
      </c>
      <c r="E2" s="2">
        <f t="shared" si="0"/>
        <v>0.05443037974683535</v>
      </c>
      <c r="F2" s="2">
        <f t="shared" si="0"/>
        <v>0.042016806722689114</v>
      </c>
      <c r="G2" s="2">
        <f t="shared" si="0"/>
        <v>0.02995391705069127</v>
      </c>
      <c r="H2" s="2">
        <f t="shared" si="0"/>
        <v>0.03020134228187922</v>
      </c>
      <c r="I2" s="2">
        <f t="shared" si="0"/>
        <v>0.026058631921824005</v>
      </c>
      <c r="J2" s="2">
        <f t="shared" si="0"/>
        <v>0.027513227513227538</v>
      </c>
      <c r="K2" s="2">
        <f t="shared" si="0"/>
        <v>0.02986611740473741</v>
      </c>
      <c r="L2" s="2">
        <f t="shared" si="0"/>
        <v>0.02299999999999991</v>
      </c>
      <c r="M2" s="2">
        <f t="shared" si="0"/>
        <v>0.015640273704789848</v>
      </c>
      <c r="N2" s="2">
        <f t="shared" si="0"/>
        <v>0.02213666987487982</v>
      </c>
      <c r="O2" s="2">
        <f t="shared" si="0"/>
        <v>0.03389830508474579</v>
      </c>
      <c r="P2" s="2">
        <f t="shared" si="0"/>
        <v>0.028233151183970778</v>
      </c>
      <c r="Q2" s="2">
        <f t="shared" si="0"/>
        <v>0.01594331266607619</v>
      </c>
      <c r="R2" s="2">
        <f t="shared" si="0"/>
        <v>0.022667829119442044</v>
      </c>
      <c r="S2" s="2">
        <f t="shared" si="0"/>
        <v>0.023017902813299157</v>
      </c>
      <c r="T2" s="2">
        <f t="shared" si="0"/>
        <v>0.03333333333333337</v>
      </c>
      <c r="U2" s="2">
        <f t="shared" si="0"/>
        <v>0.03225806451612906</v>
      </c>
      <c r="V2" s="2">
        <f t="shared" si="0"/>
        <v>0.035156249999999944</v>
      </c>
      <c r="W2" s="2">
        <f t="shared" si="0"/>
        <v>0.03547169811320766</v>
      </c>
      <c r="X2" s="2">
        <f t="shared" si="0"/>
        <v>0.03498542274052465</v>
      </c>
      <c r="Y2" s="2">
        <f t="shared" si="0"/>
        <v>0.03521126760563384</v>
      </c>
      <c r="Z2" s="2">
        <f t="shared" si="0"/>
        <v>0.034693877551020366</v>
      </c>
      <c r="AA2" s="2">
        <f t="shared" si="0"/>
        <v>0.03484549638395803</v>
      </c>
      <c r="AB2" s="2">
        <f t="shared" si="0"/>
        <v>0.03494282083862766</v>
      </c>
      <c r="AC2" s="2">
        <f t="shared" si="0"/>
        <v>0.03499079189686921</v>
      </c>
    </row>
    <row r="3" spans="1:29" ht="14.25" thickBot="1" thickTop="1">
      <c r="A3" s="7" t="s">
        <v>84</v>
      </c>
      <c r="B3" s="19">
        <v>0.724</v>
      </c>
      <c r="C3" s="19">
        <v>0.754</v>
      </c>
      <c r="D3" s="20">
        <v>0.79</v>
      </c>
      <c r="E3" s="19">
        <v>0.833</v>
      </c>
      <c r="F3" s="19">
        <v>0.868</v>
      </c>
      <c r="G3" s="19">
        <v>0.894</v>
      </c>
      <c r="H3" s="19">
        <v>0.921</v>
      </c>
      <c r="I3" s="20">
        <v>0.945</v>
      </c>
      <c r="J3" s="19">
        <v>0.971</v>
      </c>
      <c r="K3" s="21">
        <v>1</v>
      </c>
      <c r="L3" s="22">
        <v>1.023</v>
      </c>
      <c r="M3" s="22">
        <v>1.039</v>
      </c>
      <c r="N3" s="23">
        <v>1.062</v>
      </c>
      <c r="O3" s="19">
        <v>1.098</v>
      </c>
      <c r="P3" s="19">
        <v>1.129</v>
      </c>
      <c r="Q3" s="19">
        <v>1.147</v>
      </c>
      <c r="R3" s="19">
        <v>1.173</v>
      </c>
      <c r="S3" s="20">
        <v>1.2</v>
      </c>
      <c r="T3" s="19">
        <v>1.24</v>
      </c>
      <c r="U3" s="19">
        <v>1.28</v>
      </c>
      <c r="V3" s="19">
        <v>1.325</v>
      </c>
      <c r="W3" s="19">
        <v>1.372</v>
      </c>
      <c r="X3" s="20">
        <v>1.42</v>
      </c>
      <c r="Y3" s="19">
        <v>1.47</v>
      </c>
      <c r="Z3" s="19">
        <v>1.521</v>
      </c>
      <c r="AA3" s="19">
        <v>1.574</v>
      </c>
      <c r="AB3" s="19">
        <v>1.629</v>
      </c>
      <c r="AC3" s="20">
        <v>1.686</v>
      </c>
    </row>
    <row r="4" ht="15.75" customHeight="1">
      <c r="A4" s="1" t="s">
        <v>180</v>
      </c>
    </row>
    <row r="5" ht="12.75">
      <c r="A5" s="84">
        <v>14251</v>
      </c>
    </row>
    <row r="7" spans="1:29" ht="12.75">
      <c r="A7" t="s">
        <v>0</v>
      </c>
      <c r="B7">
        <v>1987</v>
      </c>
      <c r="C7">
        <v>1988</v>
      </c>
      <c r="D7">
        <v>1989</v>
      </c>
      <c r="E7">
        <v>1990</v>
      </c>
      <c r="F7">
        <v>1991</v>
      </c>
      <c r="G7">
        <v>1992</v>
      </c>
      <c r="H7">
        <v>1993</v>
      </c>
      <c r="I7">
        <v>1994</v>
      </c>
      <c r="J7">
        <v>1995</v>
      </c>
      <c r="K7">
        <v>1996</v>
      </c>
      <c r="L7">
        <v>1997</v>
      </c>
      <c r="M7">
        <v>1998</v>
      </c>
      <c r="N7">
        <v>1999</v>
      </c>
      <c r="O7">
        <v>2000</v>
      </c>
      <c r="P7">
        <v>2001</v>
      </c>
      <c r="Q7">
        <v>2002</v>
      </c>
      <c r="R7">
        <v>2003</v>
      </c>
      <c r="S7">
        <v>2004</v>
      </c>
      <c r="T7">
        <v>2005</v>
      </c>
      <c r="U7" s="87">
        <v>2006</v>
      </c>
      <c r="V7" s="87">
        <v>2007</v>
      </c>
      <c r="W7" s="87">
        <v>2008</v>
      </c>
      <c r="X7" s="88">
        <v>2009</v>
      </c>
      <c r="Y7" s="87">
        <v>2010</v>
      </c>
      <c r="Z7" s="87">
        <v>2011</v>
      </c>
      <c r="AA7" s="87">
        <v>2012</v>
      </c>
      <c r="AB7" s="87">
        <v>2013</v>
      </c>
      <c r="AC7" s="88">
        <v>2014</v>
      </c>
    </row>
    <row r="8" spans="1:20" ht="12.75">
      <c r="A8" t="s">
        <v>1</v>
      </c>
      <c r="B8">
        <v>4352</v>
      </c>
      <c r="C8">
        <v>4374</v>
      </c>
      <c r="D8">
        <v>4355</v>
      </c>
      <c r="E8">
        <v>4369</v>
      </c>
      <c r="F8">
        <v>4394</v>
      </c>
      <c r="G8">
        <v>4515</v>
      </c>
      <c r="H8">
        <v>4566</v>
      </c>
      <c r="I8">
        <v>4568</v>
      </c>
      <c r="J8">
        <v>4584</v>
      </c>
      <c r="K8">
        <v>4624</v>
      </c>
      <c r="L8">
        <v>4692</v>
      </c>
      <c r="M8">
        <v>4788</v>
      </c>
      <c r="N8">
        <v>4830</v>
      </c>
      <c r="O8">
        <v>4846</v>
      </c>
      <c r="P8">
        <v>5040</v>
      </c>
      <c r="Q8">
        <v>5124</v>
      </c>
      <c r="R8">
        <v>5113</v>
      </c>
      <c r="S8">
        <v>5164</v>
      </c>
      <c r="T8" s="10">
        <f aca="true" t="shared" si="1" ref="T8:T39">S8*(1+0.05)</f>
        <v>5422.2</v>
      </c>
    </row>
    <row r="9" spans="1:20" ht="12.75">
      <c r="A9" t="s">
        <v>2</v>
      </c>
      <c r="B9">
        <v>503896</v>
      </c>
      <c r="C9">
        <v>519013</v>
      </c>
      <c r="D9">
        <v>563591</v>
      </c>
      <c r="E9">
        <v>604400</v>
      </c>
      <c r="F9">
        <v>739200</v>
      </c>
      <c r="G9">
        <v>714800</v>
      </c>
      <c r="H9">
        <v>771600</v>
      </c>
      <c r="I9">
        <v>929700</v>
      </c>
      <c r="J9">
        <v>1074400</v>
      </c>
      <c r="K9">
        <v>1109700</v>
      </c>
      <c r="L9">
        <v>1443200</v>
      </c>
      <c r="M9">
        <v>1432800</v>
      </c>
      <c r="N9">
        <v>1454731</v>
      </c>
      <c r="O9">
        <v>1517937</v>
      </c>
      <c r="P9">
        <v>1602384</v>
      </c>
      <c r="Q9">
        <v>1725487</v>
      </c>
      <c r="R9">
        <v>1870692</v>
      </c>
      <c r="S9">
        <v>1879141</v>
      </c>
      <c r="T9" s="10">
        <f t="shared" si="1"/>
        <v>1973098.05</v>
      </c>
    </row>
    <row r="10" spans="1:20" ht="12.75">
      <c r="A10" t="s">
        <v>3</v>
      </c>
      <c r="B10">
        <v>111410</v>
      </c>
      <c r="C10">
        <v>101350</v>
      </c>
      <c r="D10">
        <v>0</v>
      </c>
      <c r="E10">
        <v>24400</v>
      </c>
      <c r="F10">
        <v>92400</v>
      </c>
      <c r="G10">
        <v>128200</v>
      </c>
      <c r="H10">
        <v>164000</v>
      </c>
      <c r="I10">
        <v>212200</v>
      </c>
      <c r="J10">
        <v>227200</v>
      </c>
      <c r="K10">
        <v>262900</v>
      </c>
      <c r="L10">
        <v>364600</v>
      </c>
      <c r="M10">
        <v>439500</v>
      </c>
      <c r="N10">
        <v>25343</v>
      </c>
      <c r="O10">
        <v>35356</v>
      </c>
      <c r="P10">
        <v>76445</v>
      </c>
      <c r="Q10">
        <v>93404</v>
      </c>
      <c r="R10">
        <v>95222</v>
      </c>
      <c r="S10">
        <v>137178</v>
      </c>
      <c r="T10" s="10">
        <f t="shared" si="1"/>
        <v>144036.9</v>
      </c>
    </row>
    <row r="11" spans="1:20" ht="12.75">
      <c r="A11" t="s">
        <v>4</v>
      </c>
      <c r="B11">
        <v>56203</v>
      </c>
      <c r="C11">
        <v>59194</v>
      </c>
      <c r="D11">
        <v>64652</v>
      </c>
      <c r="E11">
        <v>79100</v>
      </c>
      <c r="F11">
        <v>78800</v>
      </c>
      <c r="G11">
        <v>91600</v>
      </c>
      <c r="H11">
        <v>100400</v>
      </c>
      <c r="I11">
        <v>101700</v>
      </c>
      <c r="J11">
        <v>101500</v>
      </c>
      <c r="K11">
        <v>95500</v>
      </c>
      <c r="L11">
        <v>97300</v>
      </c>
      <c r="M11">
        <v>97300</v>
      </c>
      <c r="N11">
        <v>100344</v>
      </c>
      <c r="O11">
        <v>122398</v>
      </c>
      <c r="P11">
        <v>122398</v>
      </c>
      <c r="Q11">
        <v>123542</v>
      </c>
      <c r="R11">
        <v>142315</v>
      </c>
      <c r="S11">
        <v>141786</v>
      </c>
      <c r="T11" s="10">
        <f t="shared" si="1"/>
        <v>148875.30000000002</v>
      </c>
    </row>
    <row r="12" spans="1:20" ht="12.75">
      <c r="A12" t="s">
        <v>88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10">
        <f t="shared" si="1"/>
        <v>0</v>
      </c>
    </row>
    <row r="13" spans="1:20" ht="12.75">
      <c r="A13" t="s">
        <v>5</v>
      </c>
      <c r="B13">
        <v>671509</v>
      </c>
      <c r="C13">
        <v>679557</v>
      </c>
      <c r="D13">
        <v>628243</v>
      </c>
      <c r="E13">
        <v>707900</v>
      </c>
      <c r="F13">
        <v>910600</v>
      </c>
      <c r="G13">
        <v>934700</v>
      </c>
      <c r="H13">
        <v>1036100</v>
      </c>
      <c r="I13">
        <v>1243700</v>
      </c>
      <c r="J13">
        <v>1403200</v>
      </c>
      <c r="K13">
        <v>1468200</v>
      </c>
      <c r="L13">
        <v>1905200</v>
      </c>
      <c r="M13">
        <v>1969700</v>
      </c>
      <c r="N13">
        <v>1580418</v>
      </c>
      <c r="O13">
        <v>1675691</v>
      </c>
      <c r="P13">
        <v>1801227</v>
      </c>
      <c r="Q13">
        <v>1942433</v>
      </c>
      <c r="R13">
        <v>2108229</v>
      </c>
      <c r="S13">
        <v>2158105</v>
      </c>
      <c r="T13" s="10">
        <f t="shared" si="1"/>
        <v>2266010.25</v>
      </c>
    </row>
    <row r="14" spans="1:20" ht="12.75">
      <c r="A14" t="s">
        <v>6</v>
      </c>
      <c r="B14">
        <v>49835</v>
      </c>
      <c r="C14">
        <v>157540</v>
      </c>
      <c r="D14">
        <v>80008</v>
      </c>
      <c r="E14">
        <v>72300</v>
      </c>
      <c r="F14">
        <v>101300</v>
      </c>
      <c r="G14">
        <v>124000</v>
      </c>
      <c r="H14">
        <v>64800</v>
      </c>
      <c r="I14">
        <v>77100</v>
      </c>
      <c r="J14">
        <v>21000</v>
      </c>
      <c r="K14">
        <v>17400</v>
      </c>
      <c r="L14">
        <v>11300</v>
      </c>
      <c r="M14">
        <v>93700</v>
      </c>
      <c r="N14">
        <v>66556</v>
      </c>
      <c r="O14">
        <v>57624</v>
      </c>
      <c r="P14">
        <v>55954</v>
      </c>
      <c r="Q14">
        <v>65694</v>
      </c>
      <c r="R14">
        <v>47781</v>
      </c>
      <c r="S14">
        <v>98832</v>
      </c>
      <c r="T14" s="10">
        <f t="shared" si="1"/>
        <v>103773.6</v>
      </c>
    </row>
    <row r="15" spans="1:20" ht="12.75">
      <c r="A15" t="s">
        <v>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21600</v>
      </c>
      <c r="M15">
        <v>26100</v>
      </c>
      <c r="N15">
        <v>21880</v>
      </c>
      <c r="O15">
        <v>5259</v>
      </c>
      <c r="P15">
        <v>31666</v>
      </c>
      <c r="Q15">
        <v>39891</v>
      </c>
      <c r="R15">
        <v>30801</v>
      </c>
      <c r="S15">
        <v>25190</v>
      </c>
      <c r="T15" s="10">
        <f t="shared" si="1"/>
        <v>26449.5</v>
      </c>
    </row>
    <row r="16" spans="1:20" ht="12.75">
      <c r="A16" t="s">
        <v>8</v>
      </c>
      <c r="B16">
        <v>1117337</v>
      </c>
      <c r="C16">
        <v>1116509</v>
      </c>
      <c r="D16">
        <v>1129642</v>
      </c>
      <c r="E16">
        <v>1152700</v>
      </c>
      <c r="F16">
        <v>1127300</v>
      </c>
      <c r="G16">
        <v>1120200</v>
      </c>
      <c r="H16">
        <v>1108500</v>
      </c>
      <c r="I16">
        <v>1162500</v>
      </c>
      <c r="J16">
        <v>1123900</v>
      </c>
      <c r="K16">
        <v>1080600</v>
      </c>
      <c r="L16">
        <v>1023600</v>
      </c>
      <c r="M16">
        <v>1009300</v>
      </c>
      <c r="N16">
        <v>950959</v>
      </c>
      <c r="O16">
        <v>977559</v>
      </c>
      <c r="P16">
        <v>982685</v>
      </c>
      <c r="Q16">
        <v>990859</v>
      </c>
      <c r="R16">
        <v>1006284</v>
      </c>
      <c r="S16">
        <v>926302</v>
      </c>
      <c r="T16" s="10">
        <f t="shared" si="1"/>
        <v>972617.1000000001</v>
      </c>
    </row>
    <row r="17" spans="1:20" ht="12.75">
      <c r="A17" t="s">
        <v>9</v>
      </c>
      <c r="B17">
        <v>189565</v>
      </c>
      <c r="C17">
        <v>207488</v>
      </c>
      <c r="D17">
        <v>227077</v>
      </c>
      <c r="E17">
        <v>248600</v>
      </c>
      <c r="F17">
        <v>272000</v>
      </c>
      <c r="G17">
        <v>279700</v>
      </c>
      <c r="H17">
        <v>281600</v>
      </c>
      <c r="I17">
        <v>309000</v>
      </c>
      <c r="J17">
        <v>313000</v>
      </c>
      <c r="K17">
        <v>326300</v>
      </c>
      <c r="L17">
        <v>311000</v>
      </c>
      <c r="M17">
        <v>342500</v>
      </c>
      <c r="N17">
        <v>326989</v>
      </c>
      <c r="O17">
        <v>377350</v>
      </c>
      <c r="P17">
        <v>358809</v>
      </c>
      <c r="Q17">
        <v>381869</v>
      </c>
      <c r="R17">
        <v>392795</v>
      </c>
      <c r="S17">
        <v>397295</v>
      </c>
      <c r="T17" s="10">
        <f t="shared" si="1"/>
        <v>417159.75</v>
      </c>
    </row>
    <row r="18" spans="1:20" ht="12.75">
      <c r="A18" t="s">
        <v>10</v>
      </c>
      <c r="B18">
        <v>6307</v>
      </c>
      <c r="C18">
        <v>6831</v>
      </c>
      <c r="D18">
        <v>6277</v>
      </c>
      <c r="E18">
        <v>11900</v>
      </c>
      <c r="F18">
        <v>20600</v>
      </c>
      <c r="G18">
        <v>44700</v>
      </c>
      <c r="H18">
        <v>47200</v>
      </c>
      <c r="I18">
        <v>216600</v>
      </c>
      <c r="J18">
        <v>97400</v>
      </c>
      <c r="K18">
        <v>90700</v>
      </c>
      <c r="L18">
        <v>105500</v>
      </c>
      <c r="M18">
        <v>56300</v>
      </c>
      <c r="N18">
        <v>67485</v>
      </c>
      <c r="O18">
        <v>103023</v>
      </c>
      <c r="P18">
        <v>109981</v>
      </c>
      <c r="Q18">
        <v>90684</v>
      </c>
      <c r="R18">
        <v>112277</v>
      </c>
      <c r="S18">
        <v>93817</v>
      </c>
      <c r="T18" s="10">
        <f t="shared" si="1"/>
        <v>98507.85</v>
      </c>
    </row>
    <row r="19" spans="1:20" ht="12.75">
      <c r="A19" t="s">
        <v>11</v>
      </c>
      <c r="B19">
        <v>7423</v>
      </c>
      <c r="C19">
        <v>3446</v>
      </c>
      <c r="D19">
        <v>2611</v>
      </c>
      <c r="E19">
        <v>2700</v>
      </c>
      <c r="F19">
        <v>20300</v>
      </c>
      <c r="G19">
        <v>39400</v>
      </c>
      <c r="H19">
        <v>29200</v>
      </c>
      <c r="I19">
        <v>25500</v>
      </c>
      <c r="J19">
        <v>27900</v>
      </c>
      <c r="K19">
        <v>34500</v>
      </c>
      <c r="L19">
        <v>34100</v>
      </c>
      <c r="M19">
        <v>40100</v>
      </c>
      <c r="N19">
        <v>43883</v>
      </c>
      <c r="O19">
        <v>81411</v>
      </c>
      <c r="P19">
        <v>38218</v>
      </c>
      <c r="Q19">
        <v>27630</v>
      </c>
      <c r="R19">
        <v>24354</v>
      </c>
      <c r="S19">
        <v>27304</v>
      </c>
      <c r="T19" s="10">
        <f t="shared" si="1"/>
        <v>28669.2</v>
      </c>
    </row>
    <row r="20" spans="1:20" ht="12.75">
      <c r="A20" t="s">
        <v>12</v>
      </c>
      <c r="B20">
        <v>1320632</v>
      </c>
      <c r="C20">
        <v>1334274</v>
      </c>
      <c r="D20">
        <v>1365607</v>
      </c>
      <c r="E20">
        <v>1415900</v>
      </c>
      <c r="F20">
        <v>1440300</v>
      </c>
      <c r="G20">
        <v>1484100</v>
      </c>
      <c r="H20">
        <v>1466500</v>
      </c>
      <c r="I20">
        <v>1713700</v>
      </c>
      <c r="J20">
        <v>1562400</v>
      </c>
      <c r="K20">
        <v>1532200</v>
      </c>
      <c r="L20">
        <v>1496100</v>
      </c>
      <c r="M20">
        <v>1474500</v>
      </c>
      <c r="N20">
        <v>1411196</v>
      </c>
      <c r="O20">
        <v>1544602</v>
      </c>
      <c r="P20">
        <v>1521359</v>
      </c>
      <c r="Q20">
        <v>1530933</v>
      </c>
      <c r="R20">
        <v>1566511</v>
      </c>
      <c r="S20">
        <v>1469908</v>
      </c>
      <c r="T20" s="10">
        <f t="shared" si="1"/>
        <v>1543403.4000000001</v>
      </c>
    </row>
    <row r="21" spans="1:20" ht="12.75">
      <c r="A21" t="s">
        <v>13</v>
      </c>
      <c r="B21">
        <v>20265</v>
      </c>
      <c r="C21">
        <v>21194</v>
      </c>
      <c r="D21">
        <v>25518</v>
      </c>
      <c r="E21">
        <v>23700</v>
      </c>
      <c r="F21">
        <v>35900</v>
      </c>
      <c r="G21">
        <v>52800</v>
      </c>
      <c r="H21">
        <v>54000</v>
      </c>
      <c r="I21">
        <v>50500</v>
      </c>
      <c r="J21">
        <v>58900</v>
      </c>
      <c r="K21">
        <v>84200</v>
      </c>
      <c r="L21">
        <v>63400</v>
      </c>
      <c r="M21">
        <v>56500</v>
      </c>
      <c r="N21">
        <v>66856</v>
      </c>
      <c r="O21">
        <v>65340</v>
      </c>
      <c r="P21">
        <v>75317</v>
      </c>
      <c r="Q21">
        <v>54045</v>
      </c>
      <c r="R21">
        <v>73019</v>
      </c>
      <c r="S21">
        <v>77815</v>
      </c>
      <c r="T21" s="10">
        <f t="shared" si="1"/>
        <v>81705.75</v>
      </c>
    </row>
    <row r="22" spans="1:20" ht="12.75">
      <c r="A22" t="s">
        <v>14</v>
      </c>
      <c r="B22">
        <v>15913</v>
      </c>
      <c r="C22">
        <v>15124</v>
      </c>
      <c r="D22">
        <v>14818</v>
      </c>
      <c r="E22">
        <v>12400</v>
      </c>
      <c r="F22">
        <v>14000</v>
      </c>
      <c r="G22">
        <v>17600</v>
      </c>
      <c r="H22">
        <v>18200</v>
      </c>
      <c r="I22">
        <v>22600</v>
      </c>
      <c r="J22">
        <v>23100</v>
      </c>
      <c r="K22">
        <v>18300</v>
      </c>
      <c r="L22">
        <v>25800</v>
      </c>
      <c r="M22">
        <v>65700</v>
      </c>
      <c r="N22">
        <v>22821</v>
      </c>
      <c r="O22">
        <v>37296</v>
      </c>
      <c r="P22">
        <v>33909</v>
      </c>
      <c r="Q22">
        <v>34867</v>
      </c>
      <c r="R22">
        <v>40731</v>
      </c>
      <c r="S22">
        <v>38402</v>
      </c>
      <c r="T22" s="10">
        <f t="shared" si="1"/>
        <v>40322.1</v>
      </c>
    </row>
    <row r="23" spans="1:20" ht="12.75">
      <c r="A23" t="s">
        <v>15</v>
      </c>
      <c r="B23">
        <v>83705</v>
      </c>
      <c r="C23">
        <v>102031</v>
      </c>
      <c r="D23">
        <v>103057</v>
      </c>
      <c r="E23">
        <v>124900</v>
      </c>
      <c r="F23">
        <v>138600</v>
      </c>
      <c r="G23">
        <v>222700</v>
      </c>
      <c r="H23">
        <v>245400</v>
      </c>
      <c r="I23">
        <v>257300</v>
      </c>
      <c r="J23">
        <v>268900</v>
      </c>
      <c r="K23">
        <v>250200</v>
      </c>
      <c r="L23">
        <v>271800</v>
      </c>
      <c r="M23">
        <v>227200</v>
      </c>
      <c r="N23">
        <v>290947</v>
      </c>
      <c r="O23">
        <v>198381</v>
      </c>
      <c r="P23">
        <v>261761</v>
      </c>
      <c r="Q23">
        <v>219827</v>
      </c>
      <c r="R23">
        <v>248919</v>
      </c>
      <c r="S23">
        <v>274602</v>
      </c>
      <c r="T23" s="10">
        <f t="shared" si="1"/>
        <v>288332.10000000003</v>
      </c>
    </row>
    <row r="24" spans="1:20" ht="12.75">
      <c r="A24" t="s">
        <v>16</v>
      </c>
      <c r="B24">
        <v>5650</v>
      </c>
      <c r="C24">
        <v>555</v>
      </c>
      <c r="D24">
        <v>9827</v>
      </c>
      <c r="E24">
        <v>4100</v>
      </c>
      <c r="F24">
        <v>7800</v>
      </c>
      <c r="G24">
        <v>5500</v>
      </c>
      <c r="H24">
        <v>6800</v>
      </c>
      <c r="I24">
        <v>3600</v>
      </c>
      <c r="J24">
        <v>8400</v>
      </c>
      <c r="K24">
        <v>6200</v>
      </c>
      <c r="L24">
        <v>4600</v>
      </c>
      <c r="M24">
        <v>106700</v>
      </c>
      <c r="N24">
        <v>17584</v>
      </c>
      <c r="O24">
        <v>5596</v>
      </c>
      <c r="P24">
        <v>4126</v>
      </c>
      <c r="Q24">
        <v>4999</v>
      </c>
      <c r="R24">
        <v>0</v>
      </c>
      <c r="S24">
        <v>0</v>
      </c>
      <c r="T24" s="10">
        <f t="shared" si="1"/>
        <v>0</v>
      </c>
    </row>
    <row r="25" spans="1:20" ht="12.75">
      <c r="A25" t="s">
        <v>17</v>
      </c>
      <c r="B25">
        <v>116662</v>
      </c>
      <c r="C25">
        <v>104006</v>
      </c>
      <c r="D25">
        <v>227794</v>
      </c>
      <c r="E25">
        <v>160800</v>
      </c>
      <c r="F25">
        <v>154000</v>
      </c>
      <c r="G25">
        <v>82600</v>
      </c>
      <c r="H25">
        <v>172900</v>
      </c>
      <c r="I25">
        <v>118400</v>
      </c>
      <c r="J25">
        <v>216100</v>
      </c>
      <c r="K25">
        <v>104200</v>
      </c>
      <c r="L25">
        <v>186900</v>
      </c>
      <c r="M25">
        <v>186200</v>
      </c>
      <c r="N25">
        <v>144993</v>
      </c>
      <c r="O25">
        <v>174159</v>
      </c>
      <c r="P25">
        <v>87966</v>
      </c>
      <c r="Q25">
        <v>23049</v>
      </c>
      <c r="R25">
        <v>19987</v>
      </c>
      <c r="S25">
        <v>27406</v>
      </c>
      <c r="T25" s="10">
        <f t="shared" si="1"/>
        <v>28776.300000000003</v>
      </c>
    </row>
    <row r="26" spans="1:20" ht="12.75">
      <c r="A26" t="s">
        <v>18</v>
      </c>
      <c r="B26">
        <v>133984</v>
      </c>
      <c r="C26">
        <v>54687</v>
      </c>
      <c r="D26">
        <v>29578</v>
      </c>
      <c r="E26">
        <v>34900</v>
      </c>
      <c r="F26">
        <v>141500</v>
      </c>
      <c r="G26">
        <v>268100</v>
      </c>
      <c r="H26">
        <v>97600</v>
      </c>
      <c r="I26">
        <v>790900</v>
      </c>
      <c r="J26">
        <v>296900</v>
      </c>
      <c r="K26">
        <v>109800</v>
      </c>
      <c r="L26">
        <v>137600</v>
      </c>
      <c r="M26">
        <v>167700</v>
      </c>
      <c r="N26">
        <v>245804</v>
      </c>
      <c r="O26">
        <v>189581</v>
      </c>
      <c r="P26">
        <v>117704</v>
      </c>
      <c r="Q26">
        <v>156628</v>
      </c>
      <c r="R26">
        <v>357787</v>
      </c>
      <c r="S26">
        <v>226188</v>
      </c>
      <c r="T26" s="10">
        <f t="shared" si="1"/>
        <v>237497.40000000002</v>
      </c>
    </row>
    <row r="27" spans="1:20" ht="12.75">
      <c r="A27" t="s">
        <v>19</v>
      </c>
      <c r="B27">
        <v>250646</v>
      </c>
      <c r="C27">
        <v>158693</v>
      </c>
      <c r="D27">
        <v>257372</v>
      </c>
      <c r="E27">
        <v>195700</v>
      </c>
      <c r="F27">
        <v>295500</v>
      </c>
      <c r="G27">
        <v>350700</v>
      </c>
      <c r="H27">
        <v>270500</v>
      </c>
      <c r="I27">
        <v>909300</v>
      </c>
      <c r="J27">
        <v>513000</v>
      </c>
      <c r="K27">
        <v>214000</v>
      </c>
      <c r="L27">
        <v>324500</v>
      </c>
      <c r="M27">
        <v>353900</v>
      </c>
      <c r="N27">
        <v>390797</v>
      </c>
      <c r="O27">
        <v>363740</v>
      </c>
      <c r="P27">
        <v>205670</v>
      </c>
      <c r="Q27">
        <v>179677</v>
      </c>
      <c r="R27">
        <v>377774</v>
      </c>
      <c r="S27">
        <v>253594</v>
      </c>
      <c r="T27" s="10">
        <f t="shared" si="1"/>
        <v>266273.7</v>
      </c>
    </row>
    <row r="28" spans="1:20" ht="12.75">
      <c r="A28" t="s">
        <v>20</v>
      </c>
      <c r="B28">
        <v>2242787</v>
      </c>
      <c r="C28">
        <v>2172524</v>
      </c>
      <c r="D28">
        <v>2251222</v>
      </c>
      <c r="E28">
        <v>2319500</v>
      </c>
      <c r="F28">
        <v>2944200</v>
      </c>
      <c r="G28">
        <v>3192500</v>
      </c>
      <c r="H28">
        <v>3162500</v>
      </c>
      <c r="I28">
        <v>4278100</v>
      </c>
      <c r="J28">
        <v>3859100</v>
      </c>
      <c r="K28">
        <v>3590900</v>
      </c>
      <c r="L28">
        <v>4103000</v>
      </c>
      <c r="M28">
        <v>4348200</v>
      </c>
      <c r="N28">
        <v>3847175</v>
      </c>
      <c r="O28">
        <v>3948270</v>
      </c>
      <c r="P28">
        <v>3959323</v>
      </c>
      <c r="Q28">
        <v>4032475</v>
      </c>
      <c r="R28">
        <v>4462964</v>
      </c>
      <c r="S28">
        <v>4371258</v>
      </c>
      <c r="T28" s="10">
        <f t="shared" si="1"/>
        <v>4589820.9</v>
      </c>
    </row>
    <row r="29" spans="1:20" ht="12.75">
      <c r="A29" t="s">
        <v>21</v>
      </c>
      <c r="B29">
        <v>547749</v>
      </c>
      <c r="C29">
        <v>2220438</v>
      </c>
      <c r="D29">
        <v>0</v>
      </c>
      <c r="E29">
        <v>2840000</v>
      </c>
      <c r="F29">
        <v>830000</v>
      </c>
      <c r="G29">
        <v>0</v>
      </c>
      <c r="H29">
        <v>1550000</v>
      </c>
      <c r="I29">
        <v>930000</v>
      </c>
      <c r="J29">
        <v>0</v>
      </c>
      <c r="K29">
        <v>133700</v>
      </c>
      <c r="L29">
        <v>3433200</v>
      </c>
      <c r="M29">
        <v>4096900</v>
      </c>
      <c r="N29">
        <v>1666429</v>
      </c>
      <c r="O29">
        <v>1754868</v>
      </c>
      <c r="P29">
        <v>783310</v>
      </c>
      <c r="Q29">
        <v>1071483</v>
      </c>
      <c r="R29">
        <v>1518065</v>
      </c>
      <c r="S29">
        <v>3420478</v>
      </c>
      <c r="T29" s="10">
        <f t="shared" si="1"/>
        <v>3591501.9000000004</v>
      </c>
    </row>
    <row r="30" spans="1:20" ht="12.75">
      <c r="A30" t="s">
        <v>22</v>
      </c>
      <c r="B30">
        <v>2790536</v>
      </c>
      <c r="C30">
        <v>4392962</v>
      </c>
      <c r="D30">
        <v>2251222</v>
      </c>
      <c r="E30">
        <v>5159500</v>
      </c>
      <c r="F30">
        <v>3774200</v>
      </c>
      <c r="G30">
        <v>3192500</v>
      </c>
      <c r="H30">
        <v>4712500</v>
      </c>
      <c r="I30">
        <v>5208100</v>
      </c>
      <c r="J30">
        <v>3859100</v>
      </c>
      <c r="K30">
        <v>3724600</v>
      </c>
      <c r="L30">
        <v>7536200</v>
      </c>
      <c r="M30">
        <v>8445100</v>
      </c>
      <c r="N30">
        <v>5513604</v>
      </c>
      <c r="O30">
        <v>5703138</v>
      </c>
      <c r="P30">
        <v>4742633</v>
      </c>
      <c r="Q30">
        <v>5103958</v>
      </c>
      <c r="R30">
        <v>5981029</v>
      </c>
      <c r="S30">
        <v>7791736</v>
      </c>
      <c r="T30" s="10">
        <f t="shared" si="1"/>
        <v>8181322.800000001</v>
      </c>
    </row>
    <row r="31" spans="1:20" ht="12.75">
      <c r="A31" t="s">
        <v>23</v>
      </c>
      <c r="B31">
        <v>270068</v>
      </c>
      <c r="C31">
        <v>364915</v>
      </c>
      <c r="D31">
        <v>321076</v>
      </c>
      <c r="E31">
        <v>350200</v>
      </c>
      <c r="F31">
        <v>356600</v>
      </c>
      <c r="G31">
        <v>342300</v>
      </c>
      <c r="H31">
        <v>901400</v>
      </c>
      <c r="I31">
        <v>368800</v>
      </c>
      <c r="J31">
        <v>311200</v>
      </c>
      <c r="K31">
        <v>345100</v>
      </c>
      <c r="L31">
        <v>397100</v>
      </c>
      <c r="M31">
        <v>491000</v>
      </c>
      <c r="N31">
        <v>554312</v>
      </c>
      <c r="O31">
        <v>560564</v>
      </c>
      <c r="P31">
        <v>631885</v>
      </c>
      <c r="Q31">
        <v>591023</v>
      </c>
      <c r="R31">
        <v>539001</v>
      </c>
      <c r="S31">
        <v>553880</v>
      </c>
      <c r="T31" s="10">
        <f t="shared" si="1"/>
        <v>581574</v>
      </c>
    </row>
    <row r="32" spans="1:20" ht="12.75">
      <c r="A32" t="s">
        <v>24</v>
      </c>
      <c r="B32">
        <v>390487</v>
      </c>
      <c r="C32">
        <v>406725</v>
      </c>
      <c r="D32">
        <v>428964</v>
      </c>
      <c r="E32">
        <v>471000</v>
      </c>
      <c r="F32">
        <v>447600</v>
      </c>
      <c r="G32">
        <v>484000</v>
      </c>
      <c r="H32">
        <v>1080000</v>
      </c>
      <c r="I32">
        <v>643300</v>
      </c>
      <c r="J32">
        <v>660100</v>
      </c>
      <c r="K32">
        <v>656600</v>
      </c>
      <c r="L32">
        <v>719700</v>
      </c>
      <c r="M32">
        <v>769400</v>
      </c>
      <c r="N32">
        <v>743020</v>
      </c>
      <c r="O32">
        <v>939805</v>
      </c>
      <c r="P32">
        <v>947661</v>
      </c>
      <c r="Q32">
        <v>984296</v>
      </c>
      <c r="R32">
        <v>1064599</v>
      </c>
      <c r="S32">
        <v>1025691</v>
      </c>
      <c r="T32" s="10">
        <f t="shared" si="1"/>
        <v>1076975.55</v>
      </c>
    </row>
    <row r="33" spans="1:20" ht="12.75">
      <c r="A33" t="s">
        <v>25</v>
      </c>
      <c r="B33">
        <v>199676</v>
      </c>
      <c r="C33">
        <v>391659</v>
      </c>
      <c r="D33">
        <v>187189</v>
      </c>
      <c r="E33">
        <v>192800</v>
      </c>
      <c r="F33">
        <v>189400</v>
      </c>
      <c r="G33">
        <v>204600</v>
      </c>
      <c r="H33">
        <v>226900</v>
      </c>
      <c r="I33">
        <v>265200</v>
      </c>
      <c r="J33">
        <v>250800</v>
      </c>
      <c r="K33">
        <v>251100</v>
      </c>
      <c r="L33">
        <v>289500</v>
      </c>
      <c r="M33">
        <v>533200</v>
      </c>
      <c r="N33">
        <v>301435</v>
      </c>
      <c r="O33">
        <v>700279</v>
      </c>
      <c r="P33">
        <v>342891</v>
      </c>
      <c r="Q33">
        <v>372959</v>
      </c>
      <c r="R33">
        <v>425656</v>
      </c>
      <c r="S33">
        <v>347283</v>
      </c>
      <c r="T33" s="10">
        <f t="shared" si="1"/>
        <v>364647.15</v>
      </c>
    </row>
    <row r="34" spans="1:20" ht="12.75">
      <c r="A34" t="s">
        <v>26</v>
      </c>
      <c r="B34">
        <v>50931</v>
      </c>
      <c r="C34">
        <v>109860</v>
      </c>
      <c r="D34">
        <v>45847</v>
      </c>
      <c r="E34">
        <v>111800</v>
      </c>
      <c r="F34">
        <v>56900</v>
      </c>
      <c r="G34">
        <v>53900</v>
      </c>
      <c r="H34">
        <v>71500</v>
      </c>
      <c r="I34">
        <v>82100</v>
      </c>
      <c r="J34">
        <v>95000</v>
      </c>
      <c r="K34">
        <v>78800</v>
      </c>
      <c r="L34">
        <v>86100</v>
      </c>
      <c r="M34">
        <v>166600</v>
      </c>
      <c r="N34">
        <v>332761</v>
      </c>
      <c r="O34">
        <v>212705</v>
      </c>
      <c r="P34">
        <v>101966</v>
      </c>
      <c r="Q34">
        <v>92266</v>
      </c>
      <c r="R34">
        <v>232665</v>
      </c>
      <c r="S34">
        <v>104515</v>
      </c>
      <c r="T34" s="10">
        <f t="shared" si="1"/>
        <v>109740.75</v>
      </c>
    </row>
    <row r="35" spans="1:20" ht="12.75">
      <c r="A35" t="s">
        <v>27</v>
      </c>
      <c r="B35">
        <v>3421</v>
      </c>
      <c r="C35">
        <v>4840</v>
      </c>
      <c r="D35">
        <v>12311</v>
      </c>
      <c r="E35">
        <v>4500</v>
      </c>
      <c r="F35">
        <v>9900</v>
      </c>
      <c r="G35">
        <v>5100</v>
      </c>
      <c r="H35">
        <v>12100</v>
      </c>
      <c r="I35">
        <v>15600</v>
      </c>
      <c r="J35">
        <v>2400</v>
      </c>
      <c r="K35">
        <v>13800</v>
      </c>
      <c r="L35">
        <v>5600</v>
      </c>
      <c r="M35">
        <v>8300</v>
      </c>
      <c r="N35">
        <v>11802</v>
      </c>
      <c r="O35">
        <v>18123</v>
      </c>
      <c r="P35">
        <v>82161</v>
      </c>
      <c r="Q35">
        <v>56171</v>
      </c>
      <c r="R35">
        <v>59404</v>
      </c>
      <c r="S35">
        <v>73068</v>
      </c>
      <c r="T35" s="10">
        <f t="shared" si="1"/>
        <v>76721.40000000001</v>
      </c>
    </row>
    <row r="36" spans="1:20" ht="12.75">
      <c r="A36" t="s">
        <v>28</v>
      </c>
      <c r="B36">
        <v>387598</v>
      </c>
      <c r="C36">
        <v>423046</v>
      </c>
      <c r="D36">
        <v>523651</v>
      </c>
      <c r="E36">
        <v>443600</v>
      </c>
      <c r="F36">
        <v>581900</v>
      </c>
      <c r="G36">
        <v>485500</v>
      </c>
      <c r="H36">
        <v>470400</v>
      </c>
      <c r="I36">
        <v>586900</v>
      </c>
      <c r="J36">
        <v>460200</v>
      </c>
      <c r="K36">
        <v>458900</v>
      </c>
      <c r="L36">
        <v>714400</v>
      </c>
      <c r="M36">
        <v>479100</v>
      </c>
      <c r="N36">
        <v>485517</v>
      </c>
      <c r="O36">
        <v>670258</v>
      </c>
      <c r="P36">
        <v>560237</v>
      </c>
      <c r="Q36">
        <v>603481</v>
      </c>
      <c r="R36">
        <v>612683</v>
      </c>
      <c r="S36">
        <v>611377</v>
      </c>
      <c r="T36" s="10">
        <f t="shared" si="1"/>
        <v>641945.85</v>
      </c>
    </row>
    <row r="37" spans="1:20" ht="12.75">
      <c r="A37" t="s">
        <v>29</v>
      </c>
      <c r="B37">
        <v>359435</v>
      </c>
      <c r="C37">
        <v>14401</v>
      </c>
      <c r="D37">
        <v>411963</v>
      </c>
      <c r="E37">
        <v>387400</v>
      </c>
      <c r="F37">
        <v>0</v>
      </c>
      <c r="G37">
        <v>483800</v>
      </c>
      <c r="H37">
        <v>7300</v>
      </c>
      <c r="I37">
        <v>231600</v>
      </c>
      <c r="J37">
        <v>16100</v>
      </c>
      <c r="K37">
        <v>0</v>
      </c>
      <c r="L37">
        <v>212600</v>
      </c>
      <c r="M37">
        <v>1213800</v>
      </c>
      <c r="N37">
        <v>978652</v>
      </c>
      <c r="O37">
        <v>569953</v>
      </c>
      <c r="P37">
        <v>586001</v>
      </c>
      <c r="Q37">
        <v>454705</v>
      </c>
      <c r="R37">
        <v>33418</v>
      </c>
      <c r="S37">
        <v>1030602</v>
      </c>
      <c r="T37" s="10">
        <f t="shared" si="1"/>
        <v>1082132.1</v>
      </c>
    </row>
    <row r="38" spans="1:20" ht="12.75">
      <c r="A38" t="s">
        <v>30</v>
      </c>
      <c r="B38">
        <v>296830</v>
      </c>
      <c r="C38">
        <v>54377</v>
      </c>
      <c r="D38">
        <v>571710</v>
      </c>
      <c r="E38">
        <v>197500</v>
      </c>
      <c r="F38">
        <v>238200</v>
      </c>
      <c r="G38">
        <v>169800</v>
      </c>
      <c r="H38">
        <v>58600</v>
      </c>
      <c r="I38">
        <v>103800</v>
      </c>
      <c r="J38">
        <v>346800</v>
      </c>
      <c r="K38">
        <v>58900</v>
      </c>
      <c r="L38">
        <v>241600</v>
      </c>
      <c r="M38">
        <v>713200</v>
      </c>
      <c r="N38">
        <v>224118</v>
      </c>
      <c r="O38">
        <v>60288</v>
      </c>
      <c r="P38">
        <v>60966</v>
      </c>
      <c r="Q38">
        <v>65554</v>
      </c>
      <c r="R38">
        <v>65293</v>
      </c>
      <c r="S38">
        <v>66656</v>
      </c>
      <c r="T38" s="10">
        <f t="shared" si="1"/>
        <v>69988.8</v>
      </c>
    </row>
    <row r="39" spans="1:20" ht="12.75">
      <c r="A39" t="s">
        <v>31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10">
        <f t="shared" si="1"/>
        <v>0</v>
      </c>
    </row>
    <row r="40" spans="1:20" ht="12.75">
      <c r="A40" t="s">
        <v>32</v>
      </c>
      <c r="B40">
        <v>162523</v>
      </c>
      <c r="C40">
        <v>159422</v>
      </c>
      <c r="D40">
        <v>178152</v>
      </c>
      <c r="E40">
        <v>199100</v>
      </c>
      <c r="F40">
        <v>200700</v>
      </c>
      <c r="G40">
        <v>211600</v>
      </c>
      <c r="H40">
        <v>175300</v>
      </c>
      <c r="I40">
        <v>200900</v>
      </c>
      <c r="J40">
        <v>197800</v>
      </c>
      <c r="K40">
        <v>240700</v>
      </c>
      <c r="L40">
        <v>235300</v>
      </c>
      <c r="M40">
        <v>382400</v>
      </c>
      <c r="N40">
        <v>302157</v>
      </c>
      <c r="O40">
        <v>47893</v>
      </c>
      <c r="P40">
        <v>40668</v>
      </c>
      <c r="Q40">
        <v>42778</v>
      </c>
      <c r="R40">
        <v>44164</v>
      </c>
      <c r="S40">
        <v>47577</v>
      </c>
      <c r="T40" s="10">
        <f aca="true" t="shared" si="2" ref="T40:T71">S40*(1+0.05)</f>
        <v>49955.85</v>
      </c>
    </row>
    <row r="41" spans="1:20" ht="12.75">
      <c r="A41" t="s">
        <v>33</v>
      </c>
      <c r="B41">
        <v>1605</v>
      </c>
      <c r="C41">
        <v>2029</v>
      </c>
      <c r="D41">
        <v>368031</v>
      </c>
      <c r="E41">
        <v>8000</v>
      </c>
      <c r="F41">
        <v>30100</v>
      </c>
      <c r="G41">
        <v>4100</v>
      </c>
      <c r="H41">
        <v>4600</v>
      </c>
      <c r="I41">
        <v>74100</v>
      </c>
      <c r="J41">
        <v>3100</v>
      </c>
      <c r="K41">
        <v>3400</v>
      </c>
      <c r="L41">
        <v>4900</v>
      </c>
      <c r="M41">
        <v>682000</v>
      </c>
      <c r="N41">
        <v>30525</v>
      </c>
      <c r="O41">
        <v>13850</v>
      </c>
      <c r="P41">
        <v>19117</v>
      </c>
      <c r="Q41">
        <v>15332</v>
      </c>
      <c r="R41">
        <v>22660</v>
      </c>
      <c r="S41">
        <v>21759</v>
      </c>
      <c r="T41" s="10">
        <f t="shared" si="2"/>
        <v>22846.95</v>
      </c>
    </row>
    <row r="42" spans="1:20" ht="12.75">
      <c r="A42" t="s">
        <v>34</v>
      </c>
      <c r="B42">
        <v>8389</v>
      </c>
      <c r="C42">
        <v>6166</v>
      </c>
      <c r="D42">
        <v>6389</v>
      </c>
      <c r="E42">
        <v>6200</v>
      </c>
      <c r="F42">
        <v>20300</v>
      </c>
      <c r="G42">
        <v>55100</v>
      </c>
      <c r="H42">
        <v>18600</v>
      </c>
      <c r="I42">
        <v>24500</v>
      </c>
      <c r="J42">
        <v>62900</v>
      </c>
      <c r="K42">
        <v>18600</v>
      </c>
      <c r="L42">
        <v>25300</v>
      </c>
      <c r="M42">
        <v>15500</v>
      </c>
      <c r="N42">
        <v>21690</v>
      </c>
      <c r="O42">
        <v>16767</v>
      </c>
      <c r="P42">
        <v>20589</v>
      </c>
      <c r="Q42">
        <v>40774</v>
      </c>
      <c r="R42">
        <v>38252</v>
      </c>
      <c r="S42">
        <v>34078</v>
      </c>
      <c r="T42" s="10">
        <f t="shared" si="2"/>
        <v>35781.9</v>
      </c>
    </row>
    <row r="43" spans="1:20" ht="12.75">
      <c r="A43" t="s">
        <v>35</v>
      </c>
      <c r="B43">
        <v>100152</v>
      </c>
      <c r="C43">
        <v>118410</v>
      </c>
      <c r="D43">
        <v>118459</v>
      </c>
      <c r="E43">
        <v>131700</v>
      </c>
      <c r="F43">
        <v>134900</v>
      </c>
      <c r="G43">
        <v>193800</v>
      </c>
      <c r="H43">
        <v>170500</v>
      </c>
      <c r="I43">
        <v>154400</v>
      </c>
      <c r="J43">
        <v>188000</v>
      </c>
      <c r="K43">
        <v>177100</v>
      </c>
      <c r="L43">
        <v>172800</v>
      </c>
      <c r="M43">
        <v>181700</v>
      </c>
      <c r="N43">
        <v>205164</v>
      </c>
      <c r="O43">
        <v>198646</v>
      </c>
      <c r="P43">
        <v>192651</v>
      </c>
      <c r="Q43">
        <v>194440</v>
      </c>
      <c r="R43">
        <v>226734</v>
      </c>
      <c r="S43">
        <v>227822</v>
      </c>
      <c r="T43" s="10">
        <f t="shared" si="2"/>
        <v>239213.1</v>
      </c>
    </row>
    <row r="44" spans="1:20" ht="12.75">
      <c r="A44" t="s">
        <v>36</v>
      </c>
      <c r="B44">
        <v>193933</v>
      </c>
      <c r="C44">
        <v>221043</v>
      </c>
      <c r="D44">
        <v>347262</v>
      </c>
      <c r="E44">
        <v>283400</v>
      </c>
      <c r="F44">
        <v>937800</v>
      </c>
      <c r="G44">
        <v>396800</v>
      </c>
      <c r="H44">
        <v>302500</v>
      </c>
      <c r="I44">
        <v>374800</v>
      </c>
      <c r="J44">
        <v>1155100</v>
      </c>
      <c r="K44">
        <v>365400</v>
      </c>
      <c r="L44">
        <v>324800</v>
      </c>
      <c r="M44">
        <v>724800</v>
      </c>
      <c r="N44">
        <v>770228</v>
      </c>
      <c r="O44">
        <v>748982</v>
      </c>
      <c r="P44">
        <v>405574</v>
      </c>
      <c r="Q44">
        <v>455693</v>
      </c>
      <c r="R44">
        <v>468299</v>
      </c>
      <c r="S44">
        <v>332349</v>
      </c>
      <c r="T44" s="10">
        <f t="shared" si="2"/>
        <v>348966.45</v>
      </c>
    </row>
    <row r="45" spans="1:20" ht="12.75">
      <c r="A45" t="s">
        <v>37</v>
      </c>
      <c r="B45">
        <v>57184</v>
      </c>
      <c r="C45">
        <v>45184</v>
      </c>
      <c r="D45">
        <v>46711</v>
      </c>
      <c r="E45">
        <v>139700</v>
      </c>
      <c r="F45">
        <v>3400</v>
      </c>
      <c r="G45">
        <v>3100</v>
      </c>
      <c r="H45">
        <v>39100</v>
      </c>
      <c r="I45">
        <v>30000</v>
      </c>
      <c r="J45">
        <v>55500</v>
      </c>
      <c r="K45">
        <v>89000</v>
      </c>
      <c r="L45">
        <v>256100</v>
      </c>
      <c r="M45">
        <v>360900</v>
      </c>
      <c r="N45">
        <v>43154</v>
      </c>
      <c r="O45">
        <v>0</v>
      </c>
      <c r="P45">
        <v>0</v>
      </c>
      <c r="Q45">
        <v>0</v>
      </c>
      <c r="R45">
        <v>0</v>
      </c>
      <c r="S45">
        <v>0</v>
      </c>
      <c r="T45" s="10">
        <f t="shared" si="2"/>
        <v>0</v>
      </c>
    </row>
    <row r="46" spans="1:20" ht="12.75">
      <c r="A46" t="s">
        <v>38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10">
        <f t="shared" si="2"/>
        <v>0</v>
      </c>
    </row>
    <row r="47" spans="1:20" ht="12.75">
      <c r="A47" t="s">
        <v>39</v>
      </c>
      <c r="B47">
        <v>2482232</v>
      </c>
      <c r="C47">
        <v>2322077</v>
      </c>
      <c r="D47">
        <v>3567715</v>
      </c>
      <c r="E47">
        <v>2926900</v>
      </c>
      <c r="F47">
        <v>3208500</v>
      </c>
      <c r="G47">
        <v>3094300</v>
      </c>
      <c r="H47">
        <v>3539400</v>
      </c>
      <c r="I47">
        <v>3156600</v>
      </c>
      <c r="J47">
        <v>3805600</v>
      </c>
      <c r="K47">
        <v>2757900</v>
      </c>
      <c r="L47">
        <v>3686500</v>
      </c>
      <c r="M47">
        <v>6722400</v>
      </c>
      <c r="N47">
        <v>5004535</v>
      </c>
      <c r="O47">
        <v>4758113</v>
      </c>
      <c r="P47">
        <v>3992367</v>
      </c>
      <c r="Q47">
        <v>3969472</v>
      </c>
      <c r="R47">
        <v>3832828</v>
      </c>
      <c r="S47">
        <v>4476657</v>
      </c>
      <c r="T47" s="10">
        <f t="shared" si="2"/>
        <v>4700489.850000001</v>
      </c>
    </row>
    <row r="48" spans="1:20" ht="12.75">
      <c r="A48" t="s">
        <v>40</v>
      </c>
      <c r="B48">
        <v>168049</v>
      </c>
      <c r="C48">
        <v>343142</v>
      </c>
      <c r="D48">
        <v>185815</v>
      </c>
      <c r="E48">
        <v>2430900</v>
      </c>
      <c r="F48">
        <v>126500</v>
      </c>
      <c r="G48">
        <v>207600</v>
      </c>
      <c r="H48">
        <v>239200</v>
      </c>
      <c r="I48">
        <v>1110000</v>
      </c>
      <c r="J48">
        <v>375000</v>
      </c>
      <c r="K48">
        <v>420000</v>
      </c>
      <c r="L48">
        <v>1930000</v>
      </c>
      <c r="M48">
        <v>1250000</v>
      </c>
      <c r="N48">
        <v>355000</v>
      </c>
      <c r="O48">
        <v>425000</v>
      </c>
      <c r="P48">
        <v>460000</v>
      </c>
      <c r="Q48">
        <v>545000</v>
      </c>
      <c r="R48">
        <v>525000</v>
      </c>
      <c r="S48">
        <v>3888697</v>
      </c>
      <c r="T48" s="10">
        <f t="shared" si="2"/>
        <v>4083131.85</v>
      </c>
    </row>
    <row r="49" spans="1:20" ht="12.75">
      <c r="A49" t="s">
        <v>41</v>
      </c>
      <c r="B49">
        <v>157083</v>
      </c>
      <c r="C49">
        <v>136601</v>
      </c>
      <c r="D49">
        <v>218818</v>
      </c>
      <c r="E49">
        <v>272900</v>
      </c>
      <c r="F49">
        <v>262200</v>
      </c>
      <c r="G49">
        <v>315300</v>
      </c>
      <c r="H49">
        <v>347400</v>
      </c>
      <c r="I49">
        <v>438000</v>
      </c>
      <c r="J49">
        <v>374300</v>
      </c>
      <c r="K49">
        <v>350700</v>
      </c>
      <c r="L49">
        <v>445600</v>
      </c>
      <c r="M49">
        <v>477900</v>
      </c>
      <c r="N49">
        <v>537154</v>
      </c>
      <c r="O49">
        <v>343455</v>
      </c>
      <c r="P49">
        <v>572205</v>
      </c>
      <c r="Q49">
        <v>424261</v>
      </c>
      <c r="R49">
        <v>593150</v>
      </c>
      <c r="S49">
        <v>553081</v>
      </c>
      <c r="T49" s="10">
        <f t="shared" si="2"/>
        <v>580735.05</v>
      </c>
    </row>
    <row r="50" spans="1:20" ht="12.75">
      <c r="A50" t="s">
        <v>42</v>
      </c>
      <c r="B50">
        <v>325132</v>
      </c>
      <c r="C50">
        <v>479743</v>
      </c>
      <c r="D50">
        <v>404633</v>
      </c>
      <c r="E50">
        <v>2703800</v>
      </c>
      <c r="F50">
        <v>388800</v>
      </c>
      <c r="G50">
        <v>523000</v>
      </c>
      <c r="H50">
        <v>586700</v>
      </c>
      <c r="I50">
        <v>1548000</v>
      </c>
      <c r="J50">
        <v>749300</v>
      </c>
      <c r="K50">
        <v>770700</v>
      </c>
      <c r="L50">
        <v>2375600</v>
      </c>
      <c r="M50">
        <v>1727900</v>
      </c>
      <c r="N50">
        <v>892154</v>
      </c>
      <c r="O50">
        <v>768455</v>
      </c>
      <c r="P50">
        <v>1032205</v>
      </c>
      <c r="Q50">
        <v>969261</v>
      </c>
      <c r="R50">
        <v>1118150</v>
      </c>
      <c r="S50">
        <v>4441778</v>
      </c>
      <c r="T50" s="10">
        <f t="shared" si="2"/>
        <v>4663866.9</v>
      </c>
    </row>
    <row r="51" spans="1:20" ht="12.75">
      <c r="A51" t="s">
        <v>43</v>
      </c>
      <c r="B51">
        <v>2807364</v>
      </c>
      <c r="C51">
        <v>2801820</v>
      </c>
      <c r="D51">
        <v>3972348</v>
      </c>
      <c r="E51">
        <v>5630700</v>
      </c>
      <c r="F51">
        <v>3597300</v>
      </c>
      <c r="G51">
        <v>3617300</v>
      </c>
      <c r="H51">
        <v>4126200</v>
      </c>
      <c r="I51">
        <v>4704600</v>
      </c>
      <c r="J51">
        <v>4555000</v>
      </c>
      <c r="K51">
        <v>3528700</v>
      </c>
      <c r="L51">
        <v>6062100</v>
      </c>
      <c r="M51">
        <v>8450300</v>
      </c>
      <c r="N51">
        <v>5896689</v>
      </c>
      <c r="O51">
        <v>5526568</v>
      </c>
      <c r="P51">
        <v>5024572</v>
      </c>
      <c r="Q51">
        <v>4938733</v>
      </c>
      <c r="R51">
        <v>4950978</v>
      </c>
      <c r="S51">
        <v>8918435</v>
      </c>
      <c r="T51" s="10">
        <f t="shared" si="2"/>
        <v>9364356.75</v>
      </c>
    </row>
    <row r="52" spans="1:20" ht="12.75">
      <c r="A52" t="s">
        <v>44</v>
      </c>
      <c r="B52">
        <v>547749</v>
      </c>
      <c r="C52">
        <v>654225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75203</v>
      </c>
      <c r="O52">
        <v>78733</v>
      </c>
      <c r="P52">
        <v>483797</v>
      </c>
      <c r="Q52">
        <v>483797</v>
      </c>
      <c r="R52">
        <v>0</v>
      </c>
      <c r="S52">
        <v>133076</v>
      </c>
      <c r="T52" s="10">
        <f t="shared" si="2"/>
        <v>139729.80000000002</v>
      </c>
    </row>
    <row r="53" spans="1:20" ht="12.75">
      <c r="A53" t="s">
        <v>45</v>
      </c>
      <c r="B53">
        <v>3355113</v>
      </c>
      <c r="C53">
        <v>3456045</v>
      </c>
      <c r="D53">
        <v>3972348</v>
      </c>
      <c r="E53">
        <v>5630700</v>
      </c>
      <c r="F53">
        <v>3597300</v>
      </c>
      <c r="G53">
        <v>3617300</v>
      </c>
      <c r="H53">
        <v>4126200</v>
      </c>
      <c r="I53">
        <v>4704600</v>
      </c>
      <c r="J53">
        <v>4555000</v>
      </c>
      <c r="K53">
        <v>3528700</v>
      </c>
      <c r="L53">
        <v>6062100</v>
      </c>
      <c r="M53">
        <v>8450300</v>
      </c>
      <c r="N53">
        <v>5971892</v>
      </c>
      <c r="O53">
        <v>5605301</v>
      </c>
      <c r="P53">
        <v>5508369</v>
      </c>
      <c r="Q53">
        <v>5422530</v>
      </c>
      <c r="R53">
        <v>4950978</v>
      </c>
      <c r="S53">
        <v>9051511</v>
      </c>
      <c r="T53" s="10">
        <f t="shared" si="2"/>
        <v>9504086.55</v>
      </c>
    </row>
    <row r="54" spans="1:20" ht="12.75">
      <c r="A54" t="s">
        <v>46</v>
      </c>
      <c r="E54">
        <v>2448500</v>
      </c>
      <c r="F54">
        <v>3151900</v>
      </c>
      <c r="G54">
        <v>2969200</v>
      </c>
      <c r="H54">
        <v>4330000</v>
      </c>
      <c r="I54">
        <v>4350000</v>
      </c>
      <c r="J54">
        <v>4375000</v>
      </c>
      <c r="K54">
        <v>3990700</v>
      </c>
      <c r="L54">
        <v>5396900</v>
      </c>
      <c r="M54">
        <v>6336000</v>
      </c>
      <c r="N54">
        <v>6430000</v>
      </c>
      <c r="O54">
        <v>7525000</v>
      </c>
      <c r="P54">
        <v>7065000</v>
      </c>
      <c r="Q54">
        <v>7320000</v>
      </c>
      <c r="R54">
        <v>8385623</v>
      </c>
      <c r="S54">
        <v>9099746</v>
      </c>
      <c r="T54" s="10">
        <f t="shared" si="2"/>
        <v>9554733.3</v>
      </c>
    </row>
    <row r="55" spans="1:20" ht="12.75">
      <c r="A55" t="s">
        <v>47</v>
      </c>
      <c r="B55">
        <v>1329132</v>
      </c>
      <c r="C55">
        <v>1389991</v>
      </c>
      <c r="D55">
        <v>1234940</v>
      </c>
      <c r="E55">
        <v>1249400</v>
      </c>
      <c r="F55">
        <v>1240500</v>
      </c>
      <c r="G55">
        <v>1219400</v>
      </c>
      <c r="H55">
        <v>1279500</v>
      </c>
      <c r="I55">
        <v>1534500</v>
      </c>
      <c r="J55">
        <v>1586600</v>
      </c>
      <c r="K55">
        <v>1609500</v>
      </c>
      <c r="L55">
        <v>1764900</v>
      </c>
      <c r="M55">
        <v>1901800</v>
      </c>
      <c r="N55">
        <v>1865404</v>
      </c>
      <c r="O55">
        <v>2010006</v>
      </c>
      <c r="P55">
        <v>2062895</v>
      </c>
      <c r="Q55">
        <v>2407539</v>
      </c>
      <c r="R55">
        <v>2883117</v>
      </c>
      <c r="S55">
        <v>3005288</v>
      </c>
      <c r="T55" s="10">
        <f t="shared" si="2"/>
        <v>3155552.4</v>
      </c>
    </row>
    <row r="56" spans="1:20" ht="12.75">
      <c r="A56" t="s">
        <v>48</v>
      </c>
      <c r="B56">
        <v>1009992</v>
      </c>
      <c r="C56">
        <v>1021939</v>
      </c>
      <c r="D56">
        <v>1061344</v>
      </c>
      <c r="E56">
        <v>1068700</v>
      </c>
      <c r="F56">
        <v>1099500</v>
      </c>
      <c r="G56">
        <v>1497100</v>
      </c>
      <c r="H56">
        <v>1230200</v>
      </c>
      <c r="I56">
        <v>1192500</v>
      </c>
      <c r="J56">
        <v>1272400</v>
      </c>
      <c r="K56">
        <v>1326700</v>
      </c>
      <c r="L56">
        <v>1456900</v>
      </c>
      <c r="M56">
        <v>1514200</v>
      </c>
      <c r="N56">
        <v>1666560</v>
      </c>
      <c r="O56">
        <v>1762495</v>
      </c>
      <c r="P56">
        <v>1773815</v>
      </c>
      <c r="Q56">
        <v>2404765</v>
      </c>
      <c r="R56">
        <v>3013520</v>
      </c>
      <c r="S56">
        <v>2957994</v>
      </c>
      <c r="T56" s="10">
        <f t="shared" si="2"/>
        <v>3105893.7</v>
      </c>
    </row>
    <row r="57" spans="1:20" ht="12.75">
      <c r="A57" t="s">
        <v>49</v>
      </c>
      <c r="E57">
        <v>12083300</v>
      </c>
      <c r="F57">
        <v>12785500</v>
      </c>
      <c r="G57">
        <v>14167600</v>
      </c>
      <c r="H57">
        <v>15221500</v>
      </c>
      <c r="I57">
        <v>17104300</v>
      </c>
      <c r="J57">
        <v>19587800</v>
      </c>
      <c r="K57">
        <v>21993900</v>
      </c>
      <c r="L57">
        <v>24036100</v>
      </c>
      <c r="M57">
        <v>25315500</v>
      </c>
      <c r="N57">
        <v>25693100</v>
      </c>
      <c r="O57">
        <v>25435700</v>
      </c>
      <c r="P57">
        <v>27326700</v>
      </c>
      <c r="Q57">
        <v>28297600</v>
      </c>
      <c r="R57">
        <v>30798600</v>
      </c>
      <c r="S57">
        <v>33414400</v>
      </c>
      <c r="T57">
        <v>39404200</v>
      </c>
    </row>
    <row r="58" spans="1:20" ht="12.75">
      <c r="A58" t="s">
        <v>50</v>
      </c>
      <c r="E58">
        <v>53498900</v>
      </c>
      <c r="F58">
        <v>57128000</v>
      </c>
      <c r="G58">
        <v>63576300</v>
      </c>
      <c r="H58">
        <v>69125900</v>
      </c>
      <c r="I58">
        <v>78643400</v>
      </c>
      <c r="J58">
        <v>88649200</v>
      </c>
      <c r="K58">
        <v>100079800</v>
      </c>
      <c r="L58">
        <v>107872200</v>
      </c>
      <c r="M58">
        <v>115818800</v>
      </c>
      <c r="N58">
        <v>119477500</v>
      </c>
      <c r="O58">
        <v>125150700</v>
      </c>
      <c r="P58">
        <v>132587200</v>
      </c>
      <c r="Q58">
        <v>140809904</v>
      </c>
      <c r="R58">
        <v>148945200</v>
      </c>
      <c r="S58">
        <v>163251600</v>
      </c>
      <c r="T58">
        <v>170179000</v>
      </c>
    </row>
    <row r="59" spans="1:20" ht="12.75">
      <c r="A59" t="s">
        <v>51</v>
      </c>
      <c r="E59">
        <v>2503300</v>
      </c>
      <c r="F59">
        <v>2655900</v>
      </c>
      <c r="G59">
        <v>2636100</v>
      </c>
      <c r="H59">
        <v>2678400</v>
      </c>
      <c r="I59">
        <v>2667500</v>
      </c>
      <c r="J59">
        <v>2893100</v>
      </c>
      <c r="K59">
        <v>3166900</v>
      </c>
      <c r="L59">
        <v>3283000</v>
      </c>
      <c r="M59">
        <v>3559400</v>
      </c>
      <c r="N59">
        <v>3660500</v>
      </c>
      <c r="O59">
        <v>4832900</v>
      </c>
      <c r="P59">
        <v>4832300</v>
      </c>
      <c r="Q59">
        <v>4905600</v>
      </c>
      <c r="R59">
        <v>5848300</v>
      </c>
      <c r="S59">
        <v>5694700</v>
      </c>
      <c r="T59">
        <v>6098800</v>
      </c>
    </row>
    <row r="60" spans="1:20" ht="12.75">
      <c r="A60" t="s">
        <v>52</v>
      </c>
      <c r="E60">
        <v>13261800</v>
      </c>
      <c r="F60">
        <v>14167200</v>
      </c>
      <c r="G60">
        <v>14416700</v>
      </c>
      <c r="H60">
        <v>15630700</v>
      </c>
      <c r="I60">
        <v>16124400</v>
      </c>
      <c r="J60">
        <v>17942900</v>
      </c>
      <c r="K60">
        <v>20338800</v>
      </c>
      <c r="L60">
        <v>24634700</v>
      </c>
      <c r="M60">
        <v>27305700</v>
      </c>
      <c r="N60">
        <v>29020900</v>
      </c>
      <c r="O60">
        <v>32128000</v>
      </c>
      <c r="P60">
        <v>34758200</v>
      </c>
      <c r="Q60">
        <v>37711800</v>
      </c>
      <c r="R60">
        <v>41136600</v>
      </c>
      <c r="S60">
        <v>44335000</v>
      </c>
      <c r="T60">
        <v>48424000</v>
      </c>
    </row>
    <row r="61" spans="1:20" ht="12.75">
      <c r="A61" t="s">
        <v>53</v>
      </c>
      <c r="E61">
        <v>1211600</v>
      </c>
      <c r="F61">
        <v>1205100</v>
      </c>
      <c r="G61">
        <v>1206100</v>
      </c>
      <c r="H61">
        <v>1159300</v>
      </c>
      <c r="I61">
        <v>1196800</v>
      </c>
      <c r="J61">
        <v>1217300</v>
      </c>
      <c r="K61">
        <v>1232400</v>
      </c>
      <c r="L61">
        <v>1239800</v>
      </c>
      <c r="M61">
        <v>1529800</v>
      </c>
      <c r="N61">
        <v>1655900</v>
      </c>
      <c r="O61">
        <v>1878800</v>
      </c>
      <c r="P61">
        <v>1934700</v>
      </c>
      <c r="Q61">
        <v>1917500</v>
      </c>
      <c r="R61">
        <v>1929100</v>
      </c>
      <c r="S61">
        <v>1974900</v>
      </c>
      <c r="T61">
        <v>1929000</v>
      </c>
    </row>
    <row r="62" spans="1:20" ht="12.75">
      <c r="A62" t="s">
        <v>54</v>
      </c>
      <c r="E62">
        <v>22970700</v>
      </c>
      <c r="F62">
        <v>23739900</v>
      </c>
      <c r="G62">
        <v>24861700</v>
      </c>
      <c r="H62">
        <v>26505900</v>
      </c>
      <c r="I62">
        <v>27495800</v>
      </c>
      <c r="J62">
        <v>29032000</v>
      </c>
      <c r="K62">
        <v>28972300</v>
      </c>
      <c r="L62">
        <v>29197900</v>
      </c>
      <c r="M62">
        <v>29567000</v>
      </c>
      <c r="N62">
        <v>30070800</v>
      </c>
      <c r="O62">
        <v>30352800</v>
      </c>
      <c r="P62">
        <v>31359300</v>
      </c>
      <c r="Q62">
        <v>31762600</v>
      </c>
      <c r="R62">
        <v>32143500</v>
      </c>
      <c r="S62">
        <v>31886600</v>
      </c>
      <c r="T62">
        <v>30783700</v>
      </c>
    </row>
    <row r="63" spans="1:20" ht="12.75">
      <c r="A63" t="s">
        <v>55</v>
      </c>
      <c r="E63">
        <v>82600</v>
      </c>
      <c r="F63">
        <v>94400</v>
      </c>
      <c r="G63">
        <v>102900</v>
      </c>
      <c r="H63">
        <v>109400</v>
      </c>
      <c r="I63">
        <v>118600</v>
      </c>
      <c r="J63">
        <v>131200</v>
      </c>
      <c r="K63">
        <v>166400</v>
      </c>
      <c r="L63">
        <v>119000</v>
      </c>
      <c r="M63">
        <v>107900</v>
      </c>
      <c r="N63">
        <v>105000</v>
      </c>
      <c r="O63">
        <v>50300</v>
      </c>
      <c r="P63">
        <v>43400</v>
      </c>
      <c r="Q63">
        <v>23800</v>
      </c>
      <c r="R63">
        <v>13400</v>
      </c>
      <c r="S63">
        <v>15200</v>
      </c>
      <c r="T63">
        <v>15100</v>
      </c>
    </row>
    <row r="64" spans="1:20" ht="12.75">
      <c r="A64" t="s">
        <v>56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176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12600</v>
      </c>
      <c r="P65">
        <v>13700</v>
      </c>
      <c r="Q65">
        <v>14400</v>
      </c>
      <c r="R65">
        <v>17600</v>
      </c>
      <c r="S65">
        <v>4600</v>
      </c>
      <c r="T65">
        <v>3600</v>
      </c>
    </row>
    <row r="66" spans="1:20" ht="12.75">
      <c r="A66" t="s">
        <v>143</v>
      </c>
      <c r="S66">
        <v>0</v>
      </c>
      <c r="T66">
        <v>0</v>
      </c>
    </row>
    <row r="67" spans="1:20" ht="12.75">
      <c r="A67" t="s">
        <v>90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57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1600</v>
      </c>
      <c r="L68">
        <v>6000</v>
      </c>
      <c r="M68">
        <v>9000</v>
      </c>
      <c r="N68">
        <v>10000</v>
      </c>
      <c r="O68">
        <v>11000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58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118800</v>
      </c>
      <c r="L69">
        <v>146600</v>
      </c>
      <c r="M69">
        <v>148100</v>
      </c>
      <c r="N69">
        <v>159900</v>
      </c>
      <c r="O69">
        <v>159900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59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60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61</v>
      </c>
      <c r="E72">
        <v>287800</v>
      </c>
      <c r="F72">
        <v>450200</v>
      </c>
      <c r="G72">
        <v>458300</v>
      </c>
      <c r="H72">
        <v>519200</v>
      </c>
      <c r="I72">
        <v>519200</v>
      </c>
      <c r="J72">
        <v>600400</v>
      </c>
      <c r="K72">
        <v>604400</v>
      </c>
      <c r="L72">
        <v>639400</v>
      </c>
      <c r="M72">
        <v>628500</v>
      </c>
      <c r="N72">
        <v>630000</v>
      </c>
      <c r="O72">
        <v>1046700</v>
      </c>
      <c r="P72">
        <v>687700</v>
      </c>
      <c r="Q72">
        <v>733100</v>
      </c>
      <c r="R72">
        <v>627900</v>
      </c>
      <c r="S72">
        <v>721100</v>
      </c>
      <c r="T72">
        <v>775400</v>
      </c>
    </row>
    <row r="73" spans="1:20" ht="12.75">
      <c r="A73" t="s">
        <v>62</v>
      </c>
      <c r="E73">
        <v>1707200</v>
      </c>
      <c r="F73">
        <v>1608200</v>
      </c>
      <c r="G73">
        <v>1630800</v>
      </c>
      <c r="H73">
        <v>1752600</v>
      </c>
      <c r="I73">
        <v>1821000</v>
      </c>
      <c r="J73">
        <v>1997500</v>
      </c>
      <c r="K73">
        <v>1851500</v>
      </c>
      <c r="L73">
        <v>2083400</v>
      </c>
      <c r="M73">
        <v>2207800</v>
      </c>
      <c r="N73">
        <v>2277300</v>
      </c>
      <c r="O73">
        <v>2181400</v>
      </c>
      <c r="P73">
        <v>2109300</v>
      </c>
      <c r="Q73">
        <v>2209100</v>
      </c>
      <c r="R73">
        <v>2032600</v>
      </c>
      <c r="S73">
        <v>1835400</v>
      </c>
      <c r="T73">
        <v>1609100</v>
      </c>
    </row>
    <row r="74" spans="1:20" ht="12.75">
      <c r="A74" t="s">
        <v>63</v>
      </c>
      <c r="E74">
        <v>1921500</v>
      </c>
      <c r="F74">
        <v>1861400</v>
      </c>
      <c r="G74">
        <v>1775600</v>
      </c>
      <c r="H74">
        <v>1834700</v>
      </c>
      <c r="I74">
        <v>1834700</v>
      </c>
      <c r="J74">
        <v>2029500</v>
      </c>
      <c r="K74">
        <v>2445800</v>
      </c>
      <c r="L74">
        <v>2502100</v>
      </c>
      <c r="M74">
        <v>3098400</v>
      </c>
      <c r="N74">
        <v>2775000</v>
      </c>
      <c r="O74">
        <v>2879700</v>
      </c>
      <c r="P74">
        <v>2616100</v>
      </c>
      <c r="Q74">
        <v>3040100</v>
      </c>
      <c r="R74">
        <v>3001700</v>
      </c>
      <c r="S74">
        <v>3936000</v>
      </c>
      <c r="T74">
        <v>3510700</v>
      </c>
    </row>
    <row r="75" spans="1:20" ht="12.75">
      <c r="A75" t="s">
        <v>64</v>
      </c>
      <c r="E75">
        <v>3443600</v>
      </c>
      <c r="F75">
        <v>3551700</v>
      </c>
      <c r="G75">
        <v>3318100</v>
      </c>
      <c r="H75">
        <v>3238800</v>
      </c>
      <c r="I75">
        <v>3864400</v>
      </c>
      <c r="J75">
        <v>4463600</v>
      </c>
      <c r="K75">
        <v>4063700</v>
      </c>
      <c r="L75">
        <v>4361900</v>
      </c>
      <c r="M75">
        <v>4544700</v>
      </c>
      <c r="N75">
        <v>2029300</v>
      </c>
      <c r="O75">
        <v>2000500</v>
      </c>
      <c r="P75">
        <v>2317300</v>
      </c>
      <c r="Q75">
        <v>2386700</v>
      </c>
      <c r="R75">
        <v>2390900</v>
      </c>
      <c r="S75">
        <v>1892700</v>
      </c>
      <c r="T75">
        <v>1123400</v>
      </c>
    </row>
    <row r="76" spans="1:20" ht="12.75">
      <c r="A76" t="s">
        <v>65</v>
      </c>
      <c r="E76">
        <v>26300</v>
      </c>
      <c r="F76">
        <v>24100</v>
      </c>
      <c r="G76">
        <v>33000</v>
      </c>
      <c r="H76">
        <v>28700</v>
      </c>
      <c r="I76">
        <v>28700</v>
      </c>
      <c r="J76">
        <v>41400</v>
      </c>
      <c r="K76">
        <v>180100</v>
      </c>
      <c r="L76">
        <v>84300</v>
      </c>
      <c r="M76">
        <v>94500</v>
      </c>
      <c r="N76">
        <v>95000</v>
      </c>
      <c r="O76">
        <v>194400</v>
      </c>
      <c r="P76">
        <v>297100</v>
      </c>
      <c r="Q76">
        <v>204800</v>
      </c>
      <c r="R76">
        <v>199900</v>
      </c>
      <c r="S76">
        <v>204000</v>
      </c>
      <c r="T76">
        <v>575200</v>
      </c>
    </row>
    <row r="77" spans="1:20" ht="12.75">
      <c r="A77" t="s">
        <v>66</v>
      </c>
      <c r="E77">
        <v>167200</v>
      </c>
      <c r="F77">
        <v>157500</v>
      </c>
      <c r="G77">
        <v>214700</v>
      </c>
      <c r="H77">
        <v>224800</v>
      </c>
      <c r="I77">
        <v>164300</v>
      </c>
      <c r="J77">
        <v>196900</v>
      </c>
      <c r="K77">
        <v>220200</v>
      </c>
      <c r="L77">
        <v>259200</v>
      </c>
      <c r="M77">
        <v>236200</v>
      </c>
      <c r="N77">
        <v>237500</v>
      </c>
      <c r="O77">
        <v>232100</v>
      </c>
      <c r="P77">
        <v>244900</v>
      </c>
      <c r="Q77">
        <v>232300</v>
      </c>
      <c r="R77">
        <v>231400</v>
      </c>
      <c r="S77">
        <v>265200</v>
      </c>
      <c r="T77">
        <v>258700</v>
      </c>
    </row>
    <row r="78" spans="1:20" ht="12.75">
      <c r="A78" t="s">
        <v>67</v>
      </c>
      <c r="E78">
        <v>113165800</v>
      </c>
      <c r="F78">
        <v>119429100</v>
      </c>
      <c r="G78">
        <v>128397900</v>
      </c>
      <c r="H78">
        <v>138029900</v>
      </c>
      <c r="I78">
        <v>151583100</v>
      </c>
      <c r="J78">
        <v>168890800</v>
      </c>
      <c r="K78">
        <v>185436600</v>
      </c>
      <c r="L78">
        <v>200465600</v>
      </c>
      <c r="M78">
        <v>214171300</v>
      </c>
      <c r="N78">
        <v>217897700</v>
      </c>
      <c r="O78">
        <v>228547500</v>
      </c>
      <c r="P78">
        <v>241127900</v>
      </c>
      <c r="Q78">
        <v>254249300</v>
      </c>
      <c r="R78">
        <v>269316700</v>
      </c>
      <c r="S78">
        <v>289431400</v>
      </c>
      <c r="T78" s="10">
        <f aca="true" t="shared" si="3" ref="T78:T90">S78*(1+0.05)</f>
        <v>303902970</v>
      </c>
    </row>
    <row r="79" spans="1:20" ht="12.75">
      <c r="A79" t="s">
        <v>68</v>
      </c>
      <c r="E79">
        <v>94.36</v>
      </c>
      <c r="F79">
        <v>90.77</v>
      </c>
      <c r="G79">
        <v>84.26</v>
      </c>
      <c r="H79">
        <v>80.11</v>
      </c>
      <c r="I79">
        <v>106.92</v>
      </c>
      <c r="J79">
        <v>96.72</v>
      </c>
      <c r="K79">
        <v>88.95</v>
      </c>
      <c r="L79">
        <v>85.61</v>
      </c>
      <c r="M79">
        <v>81.31</v>
      </c>
      <c r="N79">
        <v>105.18</v>
      </c>
      <c r="O79">
        <v>101.65</v>
      </c>
      <c r="P79">
        <v>97.19</v>
      </c>
      <c r="Q79">
        <v>94.81</v>
      </c>
      <c r="R79">
        <v>90.5</v>
      </c>
      <c r="S79">
        <v>84.3</v>
      </c>
      <c r="T79" s="10">
        <f t="shared" si="3"/>
        <v>88.515</v>
      </c>
    </row>
    <row r="80" spans="1:20" ht="12.75">
      <c r="A80" t="s">
        <v>69</v>
      </c>
      <c r="E80">
        <v>110314850</v>
      </c>
      <c r="F80">
        <v>115551450</v>
      </c>
      <c r="G80">
        <v>123724350</v>
      </c>
      <c r="H80">
        <v>131752450</v>
      </c>
      <c r="I80">
        <v>144495050</v>
      </c>
      <c r="J80">
        <v>159799550</v>
      </c>
      <c r="K80">
        <v>171945150</v>
      </c>
      <c r="L80">
        <v>183310050</v>
      </c>
      <c r="M80">
        <v>213120500</v>
      </c>
      <c r="N80">
        <v>216466700</v>
      </c>
      <c r="O80">
        <v>225490500</v>
      </c>
      <c r="P80">
        <v>237282000</v>
      </c>
      <c r="Q80">
        <v>250373100</v>
      </c>
      <c r="R80">
        <v>263563700</v>
      </c>
      <c r="S80">
        <v>282734500</v>
      </c>
      <c r="T80" s="10">
        <f t="shared" si="3"/>
        <v>296871225</v>
      </c>
    </row>
    <row r="81" spans="1:20" ht="12.75">
      <c r="A81" t="s">
        <v>70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 s="10">
        <f t="shared" si="3"/>
        <v>1.05</v>
      </c>
    </row>
    <row r="82" spans="1:20" ht="12.75">
      <c r="A82" t="s">
        <v>71</v>
      </c>
      <c r="E82">
        <v>3694058</v>
      </c>
      <c r="F82">
        <v>3975098</v>
      </c>
      <c r="G82">
        <v>4533610</v>
      </c>
      <c r="H82">
        <v>4695229</v>
      </c>
      <c r="I82">
        <v>4889264</v>
      </c>
      <c r="J82">
        <v>4918626</v>
      </c>
      <c r="K82">
        <v>5049274</v>
      </c>
      <c r="L82">
        <v>5175995</v>
      </c>
      <c r="M82">
        <v>5208220</v>
      </c>
      <c r="N82">
        <v>5426867</v>
      </c>
      <c r="O82">
        <v>5760902</v>
      </c>
      <c r="P82">
        <v>5896059</v>
      </c>
      <c r="Q82">
        <v>6291399</v>
      </c>
      <c r="R82">
        <v>6474912</v>
      </c>
      <c r="S82">
        <v>6919726</v>
      </c>
      <c r="T82" s="10">
        <f t="shared" si="3"/>
        <v>7265712.300000001</v>
      </c>
    </row>
    <row r="83" spans="1:20" ht="12.75">
      <c r="A83" t="s">
        <v>72</v>
      </c>
      <c r="E83">
        <v>251259</v>
      </c>
      <c r="F83">
        <v>260379</v>
      </c>
      <c r="G83">
        <v>263865</v>
      </c>
      <c r="H83">
        <v>275275</v>
      </c>
      <c r="I83">
        <v>272730</v>
      </c>
      <c r="J83">
        <v>268092</v>
      </c>
      <c r="K83">
        <v>372432</v>
      </c>
      <c r="L83">
        <v>365799</v>
      </c>
      <c r="M83">
        <v>356380</v>
      </c>
      <c r="N83">
        <v>358382</v>
      </c>
      <c r="O83">
        <v>359495</v>
      </c>
      <c r="P83">
        <v>364232</v>
      </c>
      <c r="Q83">
        <v>355567</v>
      </c>
      <c r="R83">
        <v>348585</v>
      </c>
      <c r="S83">
        <v>338482</v>
      </c>
      <c r="T83" s="10">
        <f t="shared" si="3"/>
        <v>355406.10000000003</v>
      </c>
    </row>
    <row r="84" spans="1:20" ht="12.75">
      <c r="A84" t="s">
        <v>73</v>
      </c>
      <c r="E84">
        <v>0.03264</v>
      </c>
      <c r="F84">
        <v>0.03328</v>
      </c>
      <c r="G84">
        <v>0.0353</v>
      </c>
      <c r="H84">
        <v>0.03401</v>
      </c>
      <c r="I84">
        <v>0.03225</v>
      </c>
      <c r="J84">
        <v>0.02912</v>
      </c>
      <c r="K84">
        <v>0.02722</v>
      </c>
      <c r="L84">
        <v>0.02581</v>
      </c>
      <c r="M84">
        <v>0.02431</v>
      </c>
      <c r="N84">
        <v>0.0249</v>
      </c>
      <c r="O84">
        <v>0.0252</v>
      </c>
      <c r="P84">
        <v>0.02445</v>
      </c>
      <c r="Q84">
        <v>0.02474</v>
      </c>
      <c r="R84">
        <v>0.02404</v>
      </c>
      <c r="S84">
        <v>0.0239</v>
      </c>
      <c r="T84" s="10">
        <f t="shared" si="3"/>
        <v>0.025095000000000003</v>
      </c>
    </row>
    <row r="85" spans="1:20" ht="12.75">
      <c r="A85" t="s">
        <v>74</v>
      </c>
      <c r="E85">
        <v>0.03042</v>
      </c>
      <c r="F85">
        <v>0.0311</v>
      </c>
      <c r="G85">
        <v>0.03325</v>
      </c>
      <c r="H85">
        <v>0.03202</v>
      </c>
      <c r="I85">
        <v>0.03045</v>
      </c>
      <c r="J85">
        <v>0.02753</v>
      </c>
      <c r="K85">
        <v>0.02522</v>
      </c>
      <c r="L85">
        <v>0.02399</v>
      </c>
      <c r="M85">
        <v>0.02265</v>
      </c>
      <c r="N85">
        <v>0.02326</v>
      </c>
      <c r="O85">
        <v>0.02363</v>
      </c>
      <c r="P85">
        <v>0.02294</v>
      </c>
      <c r="Q85">
        <v>0.02334</v>
      </c>
      <c r="R85">
        <v>0.02274</v>
      </c>
      <c r="S85">
        <v>0.02273</v>
      </c>
      <c r="T85" s="10">
        <f t="shared" si="3"/>
        <v>0.023866500000000002</v>
      </c>
    </row>
    <row r="86" spans="1:20" ht="12.75">
      <c r="A86" t="s">
        <v>79</v>
      </c>
      <c r="E86">
        <v>1977332</v>
      </c>
      <c r="F86">
        <v>2176007</v>
      </c>
      <c r="G86">
        <v>2562331</v>
      </c>
      <c r="H86">
        <v>2457421</v>
      </c>
      <c r="I86">
        <v>2412964</v>
      </c>
      <c r="J86">
        <v>2297092</v>
      </c>
      <c r="K86">
        <v>1970646</v>
      </c>
      <c r="L86">
        <v>1934491</v>
      </c>
      <c r="M86">
        <v>2113845</v>
      </c>
      <c r="N86">
        <v>2195421</v>
      </c>
      <c r="O86">
        <v>2279274</v>
      </c>
      <c r="P86">
        <v>2211938</v>
      </c>
      <c r="Q86">
        <v>2360220</v>
      </c>
      <c r="R86">
        <v>2399787</v>
      </c>
      <c r="S86">
        <v>2679983</v>
      </c>
      <c r="T86" s="10">
        <f t="shared" si="3"/>
        <v>2813982.15</v>
      </c>
    </row>
    <row r="87" spans="1:20" ht="12.75">
      <c r="A87" t="s">
        <v>80</v>
      </c>
      <c r="E87">
        <v>180423</v>
      </c>
      <c r="F87">
        <v>188210</v>
      </c>
      <c r="G87">
        <v>203196</v>
      </c>
      <c r="H87">
        <v>211280</v>
      </c>
      <c r="I87">
        <v>224861</v>
      </c>
      <c r="J87">
        <v>236782</v>
      </c>
      <c r="K87">
        <v>246901</v>
      </c>
      <c r="L87">
        <v>258620</v>
      </c>
      <c r="M87">
        <v>303855</v>
      </c>
      <c r="N87">
        <v>310122</v>
      </c>
      <c r="O87">
        <v>348646</v>
      </c>
      <c r="P87">
        <v>371295</v>
      </c>
      <c r="Q87">
        <v>390785</v>
      </c>
      <c r="R87">
        <v>402092</v>
      </c>
      <c r="S87">
        <v>416594</v>
      </c>
      <c r="T87" s="10">
        <f t="shared" si="3"/>
        <v>437423.7</v>
      </c>
    </row>
    <row r="88" spans="1:20" ht="12.75">
      <c r="A88" t="s">
        <v>75</v>
      </c>
      <c r="E88">
        <v>681945</v>
      </c>
      <c r="F88">
        <v>743875</v>
      </c>
      <c r="G88">
        <v>806707</v>
      </c>
      <c r="H88">
        <v>856917</v>
      </c>
      <c r="I88">
        <v>920001</v>
      </c>
      <c r="J88">
        <v>978278</v>
      </c>
      <c r="K88">
        <v>987315</v>
      </c>
      <c r="L88">
        <v>1070400</v>
      </c>
      <c r="M88">
        <v>1267612</v>
      </c>
      <c r="N88">
        <v>1324440</v>
      </c>
      <c r="O88">
        <v>1408444</v>
      </c>
      <c r="P88">
        <v>1445709</v>
      </c>
      <c r="Q88">
        <v>1523630</v>
      </c>
      <c r="R88">
        <v>1602277</v>
      </c>
      <c r="S88">
        <v>1718456</v>
      </c>
      <c r="T88" s="10">
        <f t="shared" si="3"/>
        <v>1804378.8</v>
      </c>
    </row>
    <row r="89" spans="1:20" ht="12.75">
      <c r="A89" t="s">
        <v>76</v>
      </c>
      <c r="E89">
        <v>739230</v>
      </c>
      <c r="F89">
        <v>714830</v>
      </c>
      <c r="G89">
        <v>771611</v>
      </c>
      <c r="H89">
        <v>929726</v>
      </c>
      <c r="I89">
        <v>1073916</v>
      </c>
      <c r="J89">
        <v>1109748</v>
      </c>
      <c r="K89">
        <v>1442663</v>
      </c>
      <c r="L89">
        <v>1432868</v>
      </c>
      <c r="M89">
        <v>1454731</v>
      </c>
      <c r="N89">
        <v>1517937</v>
      </c>
      <c r="O89">
        <v>1602384</v>
      </c>
      <c r="P89">
        <v>1725622</v>
      </c>
      <c r="Q89">
        <v>1870580</v>
      </c>
      <c r="R89">
        <v>1879730</v>
      </c>
      <c r="S89">
        <v>1888035</v>
      </c>
      <c r="T89" s="10">
        <f t="shared" si="3"/>
        <v>1982436.75</v>
      </c>
    </row>
    <row r="90" spans="1:20" ht="12.75">
      <c r="A90" t="s">
        <v>91</v>
      </c>
      <c r="E90">
        <v>115126</v>
      </c>
      <c r="F90">
        <v>152174</v>
      </c>
      <c r="G90">
        <v>189764</v>
      </c>
      <c r="H90">
        <v>239884</v>
      </c>
      <c r="I90">
        <v>257522</v>
      </c>
      <c r="J90">
        <v>296725</v>
      </c>
      <c r="K90">
        <v>401749</v>
      </c>
      <c r="L90">
        <v>479616</v>
      </c>
      <c r="M90">
        <v>68177</v>
      </c>
      <c r="N90">
        <v>78946</v>
      </c>
      <c r="O90">
        <v>122155</v>
      </c>
      <c r="P90">
        <v>141494</v>
      </c>
      <c r="Q90">
        <v>146184</v>
      </c>
      <c r="R90">
        <v>191026</v>
      </c>
      <c r="S90">
        <v>216657</v>
      </c>
      <c r="T90" s="10">
        <f t="shared" si="3"/>
        <v>227489.85</v>
      </c>
    </row>
    <row r="92" spans="1:20" ht="12.75">
      <c r="A92" t="s">
        <v>73</v>
      </c>
      <c r="E92">
        <f aca="true" t="shared" si="4" ref="E92:T92">E82/E78</f>
        <v>0.03264288327392198</v>
      </c>
      <c r="F92">
        <f t="shared" si="4"/>
        <v>0.03328416608682473</v>
      </c>
      <c r="G92">
        <f t="shared" si="4"/>
        <v>0.035309066581307016</v>
      </c>
      <c r="H92">
        <f t="shared" si="4"/>
        <v>0.034016028411235535</v>
      </c>
      <c r="I92">
        <f t="shared" si="4"/>
        <v>0.03225467746734299</v>
      </c>
      <c r="J92">
        <f t="shared" si="4"/>
        <v>0.02912311387002726</v>
      </c>
      <c r="K92">
        <f t="shared" si="4"/>
        <v>0.027229112268020446</v>
      </c>
      <c r="L92">
        <f t="shared" si="4"/>
        <v>0.02581986635113456</v>
      </c>
      <c r="M92">
        <f t="shared" si="4"/>
        <v>0.024318010863266928</v>
      </c>
      <c r="N92">
        <f t="shared" si="4"/>
        <v>0.02490557266093217</v>
      </c>
      <c r="O92">
        <f t="shared" si="4"/>
        <v>0.025206585064373926</v>
      </c>
      <c r="P92">
        <f t="shared" si="4"/>
        <v>0.024451998296339827</v>
      </c>
      <c r="Q92">
        <f t="shared" si="4"/>
        <v>0.024745000281220047</v>
      </c>
      <c r="R92">
        <f t="shared" si="4"/>
        <v>0.0240419996234916</v>
      </c>
      <c r="S92">
        <f t="shared" si="4"/>
        <v>0.023908000306808452</v>
      </c>
      <c r="T92">
        <f t="shared" si="4"/>
        <v>0.023908000306808456</v>
      </c>
    </row>
    <row r="93" spans="1:20" ht="12.75">
      <c r="A93" t="s">
        <v>74</v>
      </c>
      <c r="E93">
        <f aca="true" t="shared" si="5" ref="E93:T93">(E82-E83)/E80</f>
        <v>0.03120884450280266</v>
      </c>
      <c r="F93">
        <f t="shared" si="5"/>
        <v>0.032147748903194204</v>
      </c>
      <c r="G93">
        <f t="shared" si="5"/>
        <v>0.03451014291042952</v>
      </c>
      <c r="H93">
        <f t="shared" si="5"/>
        <v>0.03354741410880784</v>
      </c>
      <c r="I93">
        <f t="shared" si="5"/>
        <v>0.031949426641258646</v>
      </c>
      <c r="J93">
        <f t="shared" si="5"/>
        <v>0.02910229722173811</v>
      </c>
      <c r="K93">
        <f t="shared" si="5"/>
        <v>0.027199615691399264</v>
      </c>
      <c r="L93">
        <f t="shared" si="5"/>
        <v>0.026240765304466396</v>
      </c>
      <c r="M93">
        <f t="shared" si="5"/>
        <v>0.022765712355216884</v>
      </c>
      <c r="N93">
        <f t="shared" si="5"/>
        <v>0.023414617583212567</v>
      </c>
      <c r="O93">
        <f t="shared" si="5"/>
        <v>0.023954033540215663</v>
      </c>
      <c r="P93">
        <f t="shared" si="5"/>
        <v>0.023313302315388442</v>
      </c>
      <c r="Q93">
        <f t="shared" si="5"/>
        <v>0.023707946261000083</v>
      </c>
      <c r="R93">
        <f t="shared" si="5"/>
        <v>0.023244198651028194</v>
      </c>
      <c r="S93">
        <f t="shared" si="5"/>
        <v>0.023277116871128215</v>
      </c>
      <c r="T93">
        <f t="shared" si="5"/>
        <v>0.02327711687112822</v>
      </c>
    </row>
    <row r="97" ht="12.75">
      <c r="A97" t="str">
        <f>A4</f>
        <v>CITY OF MAYVILLE (DODGE)</v>
      </c>
    </row>
    <row r="98" spans="1:20" ht="12.75">
      <c r="A98" t="s">
        <v>77</v>
      </c>
      <c r="E98" s="4">
        <f>C2</f>
        <v>50000</v>
      </c>
      <c r="F98" s="4">
        <f aca="true" t="shared" si="6" ref="F98:T98">IF($B$2&lt;&gt;"",(E98*$B$2/100)+E98,(E98*F101)+E98)</f>
        <v>53000</v>
      </c>
      <c r="G98" s="4">
        <f t="shared" si="6"/>
        <v>56180</v>
      </c>
      <c r="H98" s="4">
        <f t="shared" si="6"/>
        <v>59550.8</v>
      </c>
      <c r="I98" s="4">
        <f t="shared" si="6"/>
        <v>63123.848000000005</v>
      </c>
      <c r="J98" s="4">
        <f t="shared" si="6"/>
        <v>66911.27888000001</v>
      </c>
      <c r="K98" s="4">
        <f t="shared" si="6"/>
        <v>70925.95561280001</v>
      </c>
      <c r="L98" s="4">
        <f t="shared" si="6"/>
        <v>75181.51294956802</v>
      </c>
      <c r="M98" s="4">
        <f t="shared" si="6"/>
        <v>79692.40372654209</v>
      </c>
      <c r="N98" s="4">
        <f t="shared" si="6"/>
        <v>84473.94795013462</v>
      </c>
      <c r="O98" s="4">
        <f t="shared" si="6"/>
        <v>89542.3848271427</v>
      </c>
      <c r="P98" s="4">
        <f t="shared" si="6"/>
        <v>94914.92791677127</v>
      </c>
      <c r="Q98" s="4">
        <f t="shared" si="6"/>
        <v>100609.82359177755</v>
      </c>
      <c r="R98" s="4">
        <f t="shared" si="6"/>
        <v>106646.4130072842</v>
      </c>
      <c r="S98" s="4">
        <f t="shared" si="6"/>
        <v>113045.19778772125</v>
      </c>
      <c r="T98" s="4">
        <f t="shared" si="6"/>
        <v>119827.90965498453</v>
      </c>
    </row>
    <row r="99" spans="1:20" ht="12.75">
      <c r="A99" t="s">
        <v>78</v>
      </c>
      <c r="E99" s="3">
        <f aca="true" t="shared" si="7" ref="E99:T99">E98*E93</f>
        <v>1560.442225140133</v>
      </c>
      <c r="F99" s="3">
        <f t="shared" si="7"/>
        <v>1703.8306918692929</v>
      </c>
      <c r="G99" s="3">
        <f t="shared" si="7"/>
        <v>1938.7798287079302</v>
      </c>
      <c r="H99" s="3">
        <f t="shared" si="7"/>
        <v>1997.775348110794</v>
      </c>
      <c r="I99" s="3">
        <f t="shared" si="7"/>
        <v>2016.7707509899615</v>
      </c>
      <c r="J99" s="3">
        <f t="shared" si="7"/>
        <v>1947.2719254523681</v>
      </c>
      <c r="K99" s="3">
        <f t="shared" si="7"/>
        <v>1929.158735213403</v>
      </c>
      <c r="L99" s="3">
        <f t="shared" si="7"/>
        <v>1972.8204365443155</v>
      </c>
      <c r="M99" s="3">
        <f t="shared" si="7"/>
        <v>1814.2543401342714</v>
      </c>
      <c r="N99" s="3">
        <f t="shared" si="7"/>
        <v>1977.9251869966054</v>
      </c>
      <c r="O99" s="3">
        <f t="shared" si="7"/>
        <v>2144.901289420274</v>
      </c>
      <c r="P99" s="3">
        <f t="shared" si="7"/>
        <v>2212.7804087669906</v>
      </c>
      <c r="Q99" s="3">
        <f t="shared" si="7"/>
        <v>2385.2522910425605</v>
      </c>
      <c r="R99" s="3">
        <f t="shared" si="7"/>
        <v>2478.9104093609108</v>
      </c>
      <c r="S99" s="3">
        <f t="shared" si="7"/>
        <v>2631.366280624592</v>
      </c>
      <c r="T99" s="3">
        <f t="shared" si="7"/>
        <v>2789.2482574620685</v>
      </c>
    </row>
    <row r="100" spans="1:20" ht="12.75">
      <c r="A100" t="s">
        <v>185</v>
      </c>
      <c r="E100" s="3"/>
      <c r="F100" s="3">
        <f aca="true" t="shared" si="8" ref="F100:T100">F99-E99</f>
        <v>143.38846672915997</v>
      </c>
      <c r="G100" s="3">
        <f t="shared" si="8"/>
        <v>234.9491368386373</v>
      </c>
      <c r="H100" s="3">
        <f t="shared" si="8"/>
        <v>58.99551940286392</v>
      </c>
      <c r="I100" s="3">
        <f t="shared" si="8"/>
        <v>18.995402879167386</v>
      </c>
      <c r="J100" s="3">
        <f t="shared" si="8"/>
        <v>-69.49882553759335</v>
      </c>
      <c r="K100" s="3">
        <f t="shared" si="8"/>
        <v>-18.113190238965217</v>
      </c>
      <c r="L100" s="3">
        <f t="shared" si="8"/>
        <v>43.66170133091259</v>
      </c>
      <c r="M100" s="3">
        <f t="shared" si="8"/>
        <v>-158.5660964100441</v>
      </c>
      <c r="N100" s="3">
        <f t="shared" si="8"/>
        <v>163.67084686233397</v>
      </c>
      <c r="O100" s="3">
        <f t="shared" si="8"/>
        <v>166.97610242366886</v>
      </c>
      <c r="P100" s="3">
        <f t="shared" si="8"/>
        <v>67.87911934671638</v>
      </c>
      <c r="Q100" s="3">
        <f t="shared" si="8"/>
        <v>172.4718822755699</v>
      </c>
      <c r="R100" s="3">
        <f t="shared" si="8"/>
        <v>93.65811831835026</v>
      </c>
      <c r="S100" s="3">
        <f t="shared" si="8"/>
        <v>152.45587126368127</v>
      </c>
      <c r="T100" s="3">
        <f t="shared" si="8"/>
        <v>157.8819768374765</v>
      </c>
    </row>
    <row r="101" spans="1:20" ht="12.75">
      <c r="A101" t="s">
        <v>184</v>
      </c>
      <c r="F101" s="2">
        <f aca="true" t="shared" si="9" ref="F101:T101">(F3-E3)/E3</f>
        <v>0.042016806722689114</v>
      </c>
      <c r="G101" s="2">
        <f t="shared" si="9"/>
        <v>0.02995391705069127</v>
      </c>
      <c r="H101" s="2">
        <f t="shared" si="9"/>
        <v>0.03020134228187922</v>
      </c>
      <c r="I101" s="2">
        <f t="shared" si="9"/>
        <v>0.026058631921824005</v>
      </c>
      <c r="J101" s="2">
        <f t="shared" si="9"/>
        <v>0.027513227513227538</v>
      </c>
      <c r="K101" s="2">
        <f t="shared" si="9"/>
        <v>0.02986611740473741</v>
      </c>
      <c r="L101" s="2">
        <f t="shared" si="9"/>
        <v>0.02299999999999991</v>
      </c>
      <c r="M101" s="2">
        <f t="shared" si="9"/>
        <v>0.015640273704789848</v>
      </c>
      <c r="N101" s="2">
        <f t="shared" si="9"/>
        <v>0.02213666987487982</v>
      </c>
      <c r="O101" s="2">
        <f t="shared" si="9"/>
        <v>0.03389830508474579</v>
      </c>
      <c r="P101" s="2">
        <f t="shared" si="9"/>
        <v>0.028233151183970778</v>
      </c>
      <c r="Q101" s="2">
        <f t="shared" si="9"/>
        <v>0.01594331266607619</v>
      </c>
      <c r="R101" s="2">
        <f t="shared" si="9"/>
        <v>0.022667829119442044</v>
      </c>
      <c r="S101" s="2">
        <f t="shared" si="9"/>
        <v>0.023017902813299157</v>
      </c>
      <c r="T101" s="2">
        <f t="shared" si="9"/>
        <v>0.03333333333333337</v>
      </c>
    </row>
    <row r="102" spans="1:20" ht="12.75">
      <c r="A102" t="s">
        <v>81</v>
      </c>
      <c r="E102" s="3">
        <f aca="true" t="shared" si="10" ref="E102:T102">(E86/E$82)*E$99</f>
        <v>835.2636439170119</v>
      </c>
      <c r="F102" s="3">
        <f t="shared" si="10"/>
        <v>932.6933605970027</v>
      </c>
      <c r="G102" s="3">
        <f t="shared" si="10"/>
        <v>1095.7704031165053</v>
      </c>
      <c r="H102" s="3">
        <f t="shared" si="10"/>
        <v>1045.6092969543713</v>
      </c>
      <c r="I102" s="3">
        <f t="shared" si="10"/>
        <v>995.3226535510746</v>
      </c>
      <c r="J102" s="3">
        <f t="shared" si="10"/>
        <v>909.4130681579024</v>
      </c>
      <c r="K102" s="3">
        <f t="shared" si="10"/>
        <v>752.9179333332577</v>
      </c>
      <c r="L102" s="3">
        <f t="shared" si="10"/>
        <v>737.3274856546518</v>
      </c>
      <c r="M102" s="3">
        <f t="shared" si="10"/>
        <v>736.3460962903121</v>
      </c>
      <c r="N102" s="3">
        <f t="shared" si="10"/>
        <v>800.1630576097174</v>
      </c>
      <c r="O102" s="3">
        <f t="shared" si="10"/>
        <v>848.620188564587</v>
      </c>
      <c r="P102" s="3">
        <f t="shared" si="10"/>
        <v>830.1363795388139</v>
      </c>
      <c r="Q102" s="3">
        <f t="shared" si="10"/>
        <v>894.8280282913978</v>
      </c>
      <c r="R102" s="3">
        <f t="shared" si="10"/>
        <v>918.7548764444972</v>
      </c>
      <c r="S102" s="3">
        <f t="shared" si="10"/>
        <v>1019.1179388962996</v>
      </c>
      <c r="T102" s="3">
        <f t="shared" si="10"/>
        <v>1080.2650152300778</v>
      </c>
    </row>
    <row r="103" spans="1:20" ht="12.75">
      <c r="A103" t="s">
        <v>82</v>
      </c>
      <c r="E103" s="3">
        <f aca="true" t="shared" si="11" ref="E103:T103">(E87/E$82)*E$99</f>
        <v>76.21419793258747</v>
      </c>
      <c r="F103" s="3">
        <f t="shared" si="11"/>
        <v>80.67171539336127</v>
      </c>
      <c r="G103" s="3">
        <f t="shared" si="11"/>
        <v>86.89594077879143</v>
      </c>
      <c r="H103" s="3">
        <f t="shared" si="11"/>
        <v>89.89763343786822</v>
      </c>
      <c r="I103" s="3">
        <f t="shared" si="11"/>
        <v>92.7528331131953</v>
      </c>
      <c r="J103" s="3">
        <f t="shared" si="11"/>
        <v>93.74141092501496</v>
      </c>
      <c r="K103" s="3">
        <f t="shared" si="11"/>
        <v>94.33261512108956</v>
      </c>
      <c r="L103" s="3">
        <f t="shared" si="11"/>
        <v>98.57251046399597</v>
      </c>
      <c r="M103" s="3">
        <f t="shared" si="11"/>
        <v>105.84619169725914</v>
      </c>
      <c r="N103" s="3">
        <f t="shared" si="11"/>
        <v>113.02987798333021</v>
      </c>
      <c r="O103" s="3">
        <f t="shared" si="11"/>
        <v>129.80801529885787</v>
      </c>
      <c r="P103" s="3">
        <f t="shared" si="11"/>
        <v>139.34635014221192</v>
      </c>
      <c r="Q103" s="3">
        <f t="shared" si="11"/>
        <v>148.15795605318738</v>
      </c>
      <c r="R103" s="3">
        <f t="shared" si="11"/>
        <v>153.940322945045</v>
      </c>
      <c r="S103" s="3">
        <f t="shared" si="11"/>
        <v>158.41832527913985</v>
      </c>
      <c r="T103" s="3">
        <f t="shared" si="11"/>
        <v>167.9234247958883</v>
      </c>
    </row>
    <row r="104" spans="1:20" ht="12.75">
      <c r="A104" t="s">
        <v>75</v>
      </c>
      <c r="E104" s="3">
        <f aca="true" t="shared" si="12" ref="E104:T104">(E88/E$82)*E$99</f>
        <v>288.0668828760101</v>
      </c>
      <c r="F104" s="3">
        <f t="shared" si="12"/>
        <v>318.84422872449187</v>
      </c>
      <c r="G104" s="3">
        <f t="shared" si="12"/>
        <v>344.98495884681046</v>
      </c>
      <c r="H104" s="3">
        <f t="shared" si="12"/>
        <v>364.61004521335536</v>
      </c>
      <c r="I104" s="3">
        <f t="shared" si="12"/>
        <v>379.49088199809125</v>
      </c>
      <c r="J104" s="3">
        <f t="shared" si="12"/>
        <v>387.29785201958674</v>
      </c>
      <c r="K104" s="3">
        <f t="shared" si="12"/>
        <v>377.22004324923165</v>
      </c>
      <c r="L104" s="3">
        <f t="shared" si="12"/>
        <v>407.9808800582371</v>
      </c>
      <c r="M104" s="3">
        <f t="shared" si="12"/>
        <v>441.56555840695745</v>
      </c>
      <c r="N104" s="3">
        <f t="shared" si="12"/>
        <v>482.71741958404067</v>
      </c>
      <c r="O104" s="3">
        <f t="shared" si="12"/>
        <v>524.3924218249588</v>
      </c>
      <c r="P104" s="3">
        <f t="shared" si="12"/>
        <v>542.5720047879638</v>
      </c>
      <c r="Q104" s="3">
        <f t="shared" si="12"/>
        <v>577.652434411039</v>
      </c>
      <c r="R104" s="3">
        <f t="shared" si="12"/>
        <v>613.4293615078586</v>
      </c>
      <c r="S104" s="3">
        <f t="shared" si="12"/>
        <v>653.4777783306758</v>
      </c>
      <c r="T104" s="3">
        <f t="shared" si="12"/>
        <v>692.6864450305166</v>
      </c>
    </row>
    <row r="105" spans="1:20" ht="12.75">
      <c r="A105" t="s">
        <v>76</v>
      </c>
      <c r="E105" s="3">
        <f aca="true" t="shared" si="13" ref="E105:T105">(E89/E$82)*E$99</f>
        <v>312.26518535722516</v>
      </c>
      <c r="F105" s="3">
        <f t="shared" si="13"/>
        <v>306.39478409561895</v>
      </c>
      <c r="G105" s="3">
        <f t="shared" si="13"/>
        <v>329.9762975662121</v>
      </c>
      <c r="H105" s="3">
        <f t="shared" si="13"/>
        <v>395.5895832338862</v>
      </c>
      <c r="I105" s="3">
        <f t="shared" si="13"/>
        <v>442.9792250572142</v>
      </c>
      <c r="J105" s="3">
        <f t="shared" si="13"/>
        <v>439.3465013861421</v>
      </c>
      <c r="K105" s="3">
        <f t="shared" si="13"/>
        <v>551.1932860880937</v>
      </c>
      <c r="L105" s="3">
        <f t="shared" si="13"/>
        <v>546.1348539305737</v>
      </c>
      <c r="M105" s="3">
        <f t="shared" si="13"/>
        <v>506.74741667553764</v>
      </c>
      <c r="N105" s="3">
        <f t="shared" si="13"/>
        <v>553.2410918812026</v>
      </c>
      <c r="O105" s="3">
        <f t="shared" si="13"/>
        <v>596.6002385991667</v>
      </c>
      <c r="P105" s="3">
        <f t="shared" si="13"/>
        <v>647.6228535937839</v>
      </c>
      <c r="Q105" s="3">
        <f t="shared" si="13"/>
        <v>709.1912674078361</v>
      </c>
      <c r="R105" s="3">
        <f t="shared" si="13"/>
        <v>719.6518290577517</v>
      </c>
      <c r="S105" s="3">
        <f t="shared" si="13"/>
        <v>717.9636355021935</v>
      </c>
      <c r="T105" s="3">
        <f t="shared" si="13"/>
        <v>761.0414536323253</v>
      </c>
    </row>
    <row r="106" spans="1:20" ht="12.75">
      <c r="A106" t="s">
        <v>94</v>
      </c>
      <c r="E106" s="3">
        <f aca="true" t="shared" si="14" ref="E106:T106">(E90/E$82)*E$99</f>
        <v>48.63147021824859</v>
      </c>
      <c r="F106" s="3">
        <f t="shared" si="14"/>
        <v>65.22574580664873</v>
      </c>
      <c r="G106" s="3">
        <f t="shared" si="14"/>
        <v>81.15180075368893</v>
      </c>
      <c r="H106" s="3">
        <f t="shared" si="14"/>
        <v>102.0683637808102</v>
      </c>
      <c r="I106" s="3">
        <f t="shared" si="14"/>
        <v>106.22515727038606</v>
      </c>
      <c r="J106" s="3">
        <f t="shared" si="14"/>
        <v>117.4726970661835</v>
      </c>
      <c r="K106" s="3">
        <f t="shared" si="14"/>
        <v>153.49485742173022</v>
      </c>
      <c r="L106" s="3">
        <f t="shared" si="14"/>
        <v>182.80470643685678</v>
      </c>
      <c r="M106" s="3">
        <f t="shared" si="14"/>
        <v>23.749077064205085</v>
      </c>
      <c r="N106" s="3">
        <f t="shared" si="14"/>
        <v>28.773375469241095</v>
      </c>
      <c r="O106" s="3">
        <f t="shared" si="14"/>
        <v>45.48079745309564</v>
      </c>
      <c r="P106" s="3">
        <f t="shared" si="14"/>
        <v>53.10244540600367</v>
      </c>
      <c r="Q106" s="3">
        <f t="shared" si="14"/>
        <v>55.42260487910013</v>
      </c>
      <c r="R106" s="3">
        <f t="shared" si="14"/>
        <v>73.13401940575831</v>
      </c>
      <c r="S106" s="3">
        <f t="shared" si="14"/>
        <v>82.3882223459834</v>
      </c>
      <c r="T106" s="3">
        <f t="shared" si="14"/>
        <v>87.33151568674242</v>
      </c>
    </row>
    <row r="107" spans="1:20" ht="12.75">
      <c r="A107" t="s">
        <v>164</v>
      </c>
      <c r="E107" s="3">
        <f aca="true" t="shared" si="15" ref="E107:T107">$E99</f>
        <v>1560.442225140133</v>
      </c>
      <c r="F107" s="3">
        <f t="shared" si="15"/>
        <v>1560.442225140133</v>
      </c>
      <c r="G107" s="3">
        <f t="shared" si="15"/>
        <v>1560.442225140133</v>
      </c>
      <c r="H107" s="3">
        <f t="shared" si="15"/>
        <v>1560.442225140133</v>
      </c>
      <c r="I107" s="3">
        <f t="shared" si="15"/>
        <v>1560.442225140133</v>
      </c>
      <c r="J107" s="3">
        <f t="shared" si="15"/>
        <v>1560.442225140133</v>
      </c>
      <c r="K107" s="3">
        <f t="shared" si="15"/>
        <v>1560.442225140133</v>
      </c>
      <c r="L107" s="3">
        <f t="shared" si="15"/>
        <v>1560.442225140133</v>
      </c>
      <c r="M107" s="3">
        <f t="shared" si="15"/>
        <v>1560.442225140133</v>
      </c>
      <c r="N107" s="3">
        <f t="shared" si="15"/>
        <v>1560.442225140133</v>
      </c>
      <c r="O107" s="3">
        <f t="shared" si="15"/>
        <v>1560.442225140133</v>
      </c>
      <c r="P107" s="3">
        <f t="shared" si="15"/>
        <v>1560.442225140133</v>
      </c>
      <c r="Q107" s="3">
        <f t="shared" si="15"/>
        <v>1560.442225140133</v>
      </c>
      <c r="R107" s="3">
        <f t="shared" si="15"/>
        <v>1560.442225140133</v>
      </c>
      <c r="S107" s="3">
        <f t="shared" si="15"/>
        <v>1560.442225140133</v>
      </c>
      <c r="T107" s="3">
        <f t="shared" si="15"/>
        <v>1560.442225140133</v>
      </c>
    </row>
    <row r="108" spans="1:20" ht="12.75">
      <c r="A108" t="str">
        <f>"PROPERTY TAX ON HYPOTHETICAL PROPERTY IN "&amp;$A$4</f>
        <v>PROPERTY TAX ON HYPOTHETICAL PROPERTY IN CITY OF MAYVILLE (DODGE)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ht="12.75">
      <c r="A109" t="str">
        <f>IF(B2&lt;&gt;"",A191&amp;" estimated at "&amp;B2&amp;"%",A191&amp;" estimated at rate of inflation")</f>
        <v>Annual increase in property valuation estimated at 6%</v>
      </c>
    </row>
    <row r="110" spans="1:4" ht="12.75">
      <c r="A110" t="str">
        <f>"Property value = "&amp;"$"&amp;TEXT(E98,"#,000")&amp;" in 1990"</f>
        <v>Property value = $50,000 in 1990</v>
      </c>
      <c r="D110" s="25" t="s">
        <v>146</v>
      </c>
    </row>
    <row r="111" spans="1:20" ht="12.75">
      <c r="A111" t="str">
        <f>IF(B111&gt;0,"Local tax increased by "&amp;TEXT(B111,"#0%")&amp;" between 1990 and 2005 or $"&amp;TEXT(C111,"#,###"),"Local tax decreased by "&amp;TEXT(B111,"#0%")&amp;" between 1990 and 2005 or "&amp;TEXT(C111,"$#,###"))</f>
        <v>Local tax increased by 144% between 1990 and 2005 or $449</v>
      </c>
      <c r="B111" s="12">
        <f>(T105-E105)/E105</f>
        <v>1.4371639533293121</v>
      </c>
      <c r="C111" s="3">
        <f>(T105-E105)</f>
        <v>448.77626827510016</v>
      </c>
      <c r="D111" s="12">
        <f>POWER(T105/E105,1/($T$7-$E$7))-1</f>
        <v>0.06118796605054477</v>
      </c>
      <c r="E111" s="2">
        <f aca="true" t="shared" si="16" ref="E111:T111">E105/E$99</f>
        <v>0.20011326297529708</v>
      </c>
      <c r="F111" s="2">
        <f t="shared" si="16"/>
        <v>0.17982701306986645</v>
      </c>
      <c r="G111" s="2">
        <f t="shared" si="16"/>
        <v>0.17019792174448178</v>
      </c>
      <c r="H111" s="2">
        <f t="shared" si="16"/>
        <v>0.19801504889324886</v>
      </c>
      <c r="I111" s="2">
        <f t="shared" si="16"/>
        <v>0.21964778338825638</v>
      </c>
      <c r="J111" s="2">
        <f t="shared" si="16"/>
        <v>0.22562154552917826</v>
      </c>
      <c r="K111" s="2">
        <f t="shared" si="16"/>
        <v>0.28571691692706713</v>
      </c>
      <c r="L111" s="2">
        <f t="shared" si="16"/>
        <v>0.27682947916294354</v>
      </c>
      <c r="M111" s="2">
        <f t="shared" si="16"/>
        <v>0.27931442988199423</v>
      </c>
      <c r="N111" s="2">
        <f t="shared" si="16"/>
        <v>0.2797077945709744</v>
      </c>
      <c r="O111" s="2">
        <f t="shared" si="16"/>
        <v>0.27814810944536117</v>
      </c>
      <c r="P111" s="2">
        <f t="shared" si="16"/>
        <v>0.29267380126284354</v>
      </c>
      <c r="Q111" s="2">
        <f t="shared" si="16"/>
        <v>0.2973233775190542</v>
      </c>
      <c r="R111" s="2">
        <f t="shared" si="16"/>
        <v>0.29030973702808627</v>
      </c>
      <c r="S111" s="2">
        <f t="shared" si="16"/>
        <v>0.27284823127389723</v>
      </c>
      <c r="T111" s="2">
        <f t="shared" si="16"/>
        <v>0.27284823127389723</v>
      </c>
    </row>
    <row r="112" spans="1:20" ht="12.75">
      <c r="A112" t="str">
        <f>IF(B112&gt;0,"County tax increased by "&amp;TEXT(B112,"#0%")&amp;" between 1990 and 2005 or $"&amp;TEXT(C112,"#,###"),"County tax decreased by "&amp;TEXT(B112,"#0%")&amp;" between 1990 and 2005 or "&amp;TEXT(C112,"$#,###"))</f>
        <v>County tax increased by 140% between 1990 and 2005 or $405</v>
      </c>
      <c r="B112" s="5">
        <f>(T104-E104)/E104</f>
        <v>1.4046028412390017</v>
      </c>
      <c r="C112" s="3">
        <f>(T104-E104)</f>
        <v>404.61956215450647</v>
      </c>
      <c r="D112" s="12">
        <f>POWER(S104/E104,1/($T$7-$E$7))-1</f>
        <v>0.05612623923356752</v>
      </c>
      <c r="E112" s="2">
        <f aca="true" t="shared" si="17" ref="E112:T112">E104/E$99</f>
        <v>0.18460592659887853</v>
      </c>
      <c r="F112" s="2">
        <f t="shared" si="17"/>
        <v>0.18713375116789574</v>
      </c>
      <c r="G112" s="2">
        <f t="shared" si="17"/>
        <v>0.17793921400385126</v>
      </c>
      <c r="H112" s="2">
        <f t="shared" si="17"/>
        <v>0.18250803102468485</v>
      </c>
      <c r="I112" s="2">
        <f t="shared" si="17"/>
        <v>0.18816758514164914</v>
      </c>
      <c r="J112" s="2">
        <f t="shared" si="17"/>
        <v>0.19889253624894432</v>
      </c>
      <c r="K112" s="2">
        <f t="shared" si="17"/>
        <v>0.19553603151661011</v>
      </c>
      <c r="L112" s="2">
        <f t="shared" si="17"/>
        <v>0.20680081800697256</v>
      </c>
      <c r="M112" s="2">
        <f t="shared" si="17"/>
        <v>0.2433868000967701</v>
      </c>
      <c r="N112" s="2">
        <f t="shared" si="17"/>
        <v>0.2440524155097223</v>
      </c>
      <c r="O112" s="2">
        <f t="shared" si="17"/>
        <v>0.244483242381141</v>
      </c>
      <c r="P112" s="2">
        <f t="shared" si="17"/>
        <v>0.2451992084882461</v>
      </c>
      <c r="Q112" s="2">
        <f t="shared" si="17"/>
        <v>0.24217666054879053</v>
      </c>
      <c r="R112" s="2">
        <f t="shared" si="17"/>
        <v>0.2474592704889271</v>
      </c>
      <c r="S112" s="2">
        <f t="shared" si="17"/>
        <v>0.24834162508746735</v>
      </c>
      <c r="T112" s="2">
        <f t="shared" si="17"/>
        <v>0.24834162508746732</v>
      </c>
    </row>
    <row r="113" spans="1:20" ht="12.75">
      <c r="A113" t="str">
        <f>IF(B113&gt;0,"School district tax increased by "&amp;TEXT(B113,"#0%")&amp;" between 1990 and 2005 or $"&amp;TEXT(C113,"#,###"),"School district tax decreased by "&amp;TEXT(B113,"#.0%")&amp;" between 1990 and 2005 or "&amp;TEXT(C113,"$#,###"))</f>
        <v>School district tax increased by 29% between 1990 and 2005 or $245</v>
      </c>
      <c r="B113" s="12">
        <f>(T102-E102)/E102</f>
        <v>0.293322202034461</v>
      </c>
      <c r="C113" s="3">
        <f>(T102-E102)</f>
        <v>245.00137131306587</v>
      </c>
      <c r="D113" s="12">
        <f>POWER(S102/E102,1/($T$7-$E$7))-1</f>
        <v>0.013351367373790612</v>
      </c>
      <c r="E113" s="2">
        <f aca="true" t="shared" si="18" ref="E113:T113">E102/E$99</f>
        <v>0.5352736746418166</v>
      </c>
      <c r="F113" s="2">
        <f t="shared" si="18"/>
        <v>0.5474096487684077</v>
      </c>
      <c r="G113" s="2">
        <f t="shared" si="18"/>
        <v>0.5651855805858907</v>
      </c>
      <c r="H113" s="2">
        <f t="shared" si="18"/>
        <v>0.5233868252219434</v>
      </c>
      <c r="I113" s="2">
        <f t="shared" si="18"/>
        <v>0.4935229515117204</v>
      </c>
      <c r="J113" s="2">
        <f t="shared" si="18"/>
        <v>0.467019041496548</v>
      </c>
      <c r="K113" s="2">
        <f t="shared" si="18"/>
        <v>0.3902830387101195</v>
      </c>
      <c r="L113" s="2">
        <f t="shared" si="18"/>
        <v>0.3737428262585261</v>
      </c>
      <c r="M113" s="2">
        <f t="shared" si="18"/>
        <v>0.4058670716674795</v>
      </c>
      <c r="N113" s="2">
        <f t="shared" si="18"/>
        <v>0.40454667490469176</v>
      </c>
      <c r="O113" s="2">
        <f t="shared" si="18"/>
        <v>0.3956453347062665</v>
      </c>
      <c r="P113" s="2">
        <f t="shared" si="18"/>
        <v>0.3751553368105713</v>
      </c>
      <c r="Q113" s="2">
        <f t="shared" si="18"/>
        <v>0.37515026467086254</v>
      </c>
      <c r="R113" s="2">
        <f t="shared" si="18"/>
        <v>0.3706285120168429</v>
      </c>
      <c r="S113" s="2">
        <f t="shared" si="18"/>
        <v>0.3872961154820292</v>
      </c>
      <c r="T113" s="2">
        <f t="shared" si="18"/>
        <v>0.38729611548202914</v>
      </c>
    </row>
    <row r="114" spans="1:20" ht="12.75">
      <c r="A114" t="str">
        <f>IF(B114&gt;0,"Your total property tax grew by "&amp;TEXT(B114,"#0%")&amp;" between 1990 and 2005 or $"&amp;TEXT(C114,"#,###")&amp;"  ("&amp;TEXT(C114/15,"$#,###")&amp;"/year)","Your total property tax decreased by "&amp;TEXT(B114,"#0%")&amp;" between 1990 and 2005 or "&amp;TEXT(C114,"$#,###"))</f>
        <v>Your total property tax grew by 79% between 1990 and 2005 or $1,229  ($82/year)</v>
      </c>
      <c r="B114" s="12">
        <f>(T99-E99)/E99</f>
        <v>0.7874729435827621</v>
      </c>
      <c r="C114" s="3">
        <f>(T99-E99)</f>
        <v>1228.8060323219356</v>
      </c>
      <c r="D114" s="12">
        <f>POWER(T99/E99,1/($T$7-$E$7))-1</f>
        <v>0.03947958679571428</v>
      </c>
      <c r="E114" s="2">
        <f aca="true" t="shared" si="19" ref="E114:T114">E99/E$99</f>
        <v>1</v>
      </c>
      <c r="F114" s="2">
        <f t="shared" si="19"/>
        <v>1</v>
      </c>
      <c r="G114" s="2">
        <f t="shared" si="19"/>
        <v>1</v>
      </c>
      <c r="H114" s="2">
        <f t="shared" si="19"/>
        <v>1</v>
      </c>
      <c r="I114" s="2">
        <f t="shared" si="19"/>
        <v>1</v>
      </c>
      <c r="J114" s="2">
        <f t="shared" si="19"/>
        <v>1</v>
      </c>
      <c r="K114" s="2">
        <f t="shared" si="19"/>
        <v>1</v>
      </c>
      <c r="L114" s="2">
        <f t="shared" si="19"/>
        <v>1</v>
      </c>
      <c r="M114" s="2">
        <f t="shared" si="19"/>
        <v>1</v>
      </c>
      <c r="N114" s="2">
        <f t="shared" si="19"/>
        <v>1</v>
      </c>
      <c r="O114" s="2">
        <f t="shared" si="19"/>
        <v>1</v>
      </c>
      <c r="P114" s="2">
        <f t="shared" si="19"/>
        <v>1</v>
      </c>
      <c r="Q114" s="2">
        <f t="shared" si="19"/>
        <v>1</v>
      </c>
      <c r="R114" s="2">
        <f t="shared" si="19"/>
        <v>1</v>
      </c>
      <c r="S114" s="2">
        <f t="shared" si="19"/>
        <v>1</v>
      </c>
      <c r="T114" s="2">
        <f t="shared" si="19"/>
        <v>1</v>
      </c>
    </row>
    <row r="115" spans="1:20" ht="12.75">
      <c r="A115" t="str">
        <f>IF(B115&gt;0,"Other property taxes increased by "&amp;TEXT(B115,"#0%")&amp;" between 1990 and 2005 or $"&amp;TEXT(C115,"#,###"),"Other property taxes decreased by "&amp;TEXT(B115,"#0%")&amp;" between 1990 and 2005 or "&amp;TEXT(C115,"$#,###"))</f>
        <v>Other property taxes increased by 80% between 1990 and 2005 or $39</v>
      </c>
      <c r="B115" s="12">
        <f>(T106-E106)/E106</f>
        <v>0.7957819349243515</v>
      </c>
      <c r="C115" s="3">
        <f>(T106-E106)</f>
        <v>38.70004546849383</v>
      </c>
      <c r="D115" s="12">
        <f>POWER(T106/E106,1/($T$7-$E$7))-1</f>
        <v>0.03980102184081313</v>
      </c>
      <c r="E115" s="2">
        <f aca="true" t="shared" si="20" ref="E115:T115">E106/E$99</f>
        <v>0.031165184737218528</v>
      </c>
      <c r="F115" s="2">
        <f t="shared" si="20"/>
        <v>0.03828182349215038</v>
      </c>
      <c r="G115" s="2">
        <f t="shared" si="20"/>
        <v>0.04185715136502699</v>
      </c>
      <c r="H115" s="2">
        <f t="shared" si="20"/>
        <v>0.05109101174830876</v>
      </c>
      <c r="I115" s="2">
        <f t="shared" si="20"/>
        <v>0.05267091324992882</v>
      </c>
      <c r="J115" s="2">
        <f t="shared" si="20"/>
        <v>0.0603268067139075</v>
      </c>
      <c r="K115" s="2">
        <f t="shared" si="20"/>
        <v>0.07956569597926355</v>
      </c>
      <c r="L115" s="2">
        <f t="shared" si="20"/>
        <v>0.09266160419397623</v>
      </c>
      <c r="M115" s="2">
        <f t="shared" si="20"/>
        <v>0.01309026884425005</v>
      </c>
      <c r="N115" s="2">
        <f t="shared" si="20"/>
        <v>0.014547251664726629</v>
      </c>
      <c r="O115" s="2">
        <f t="shared" si="20"/>
        <v>0.021204144767607572</v>
      </c>
      <c r="P115" s="2">
        <f t="shared" si="20"/>
        <v>0.02399806379142407</v>
      </c>
      <c r="Q115" s="2">
        <f t="shared" si="20"/>
        <v>0.023235531556653775</v>
      </c>
      <c r="R115" s="2">
        <f t="shared" si="20"/>
        <v>0.02950248590251111</v>
      </c>
      <c r="S115" s="2">
        <f t="shared" si="20"/>
        <v>0.03131005476228394</v>
      </c>
      <c r="T115" s="2">
        <f t="shared" si="20"/>
        <v>0.03131005476228394</v>
      </c>
    </row>
    <row r="116" spans="1:20" ht="12.75">
      <c r="A116" t="str">
        <f>IF(B116&gt;0,"Tech College property tax increased by "&amp;TEXT(B116,"#0%")&amp;" between 1990 and 2005 or $"&amp;TEXT(C116,"#,###"),"Tech College property tax decreased by "&amp;TEXT(B116,"#0%")&amp;" between 1990 and 2005 or "&amp;TEXT(C116,"$#,###"))</f>
        <v>Tech College property tax increased by 120% between 1990 and 2005 or $92</v>
      </c>
      <c r="B116" s="12">
        <f>(T103-E103)/E103</f>
        <v>1.2033089549065248</v>
      </c>
      <c r="C116" s="3">
        <f>(T103-E103)</f>
        <v>91.70922686330084</v>
      </c>
      <c r="D116" s="12">
        <f>POWER(T103/E103,1/($T$7-$E$7))-1</f>
        <v>0.0540754374097725</v>
      </c>
      <c r="E116" s="2">
        <f aca="true" t="shared" si="21" ref="E116:T116">E103/E$99</f>
        <v>0.048841409636773435</v>
      </c>
      <c r="F116" s="2">
        <f t="shared" si="21"/>
        <v>0.047347260369429885</v>
      </c>
      <c r="G116" s="2">
        <f t="shared" si="21"/>
        <v>0.04481991172597555</v>
      </c>
      <c r="H116" s="2">
        <f t="shared" si="21"/>
        <v>0.04499887012965715</v>
      </c>
      <c r="I116" s="2">
        <f t="shared" si="21"/>
        <v>0.04599076670844528</v>
      </c>
      <c r="J116" s="2">
        <f t="shared" si="21"/>
        <v>0.04813986670261167</v>
      </c>
      <c r="K116" s="2">
        <f t="shared" si="21"/>
        <v>0.048898316866939684</v>
      </c>
      <c r="L116" s="2">
        <f t="shared" si="21"/>
        <v>0.0499652723775815</v>
      </c>
      <c r="M116" s="2">
        <f t="shared" si="21"/>
        <v>0.058341429509506125</v>
      </c>
      <c r="N116" s="2">
        <f t="shared" si="21"/>
        <v>0.0571456790815032</v>
      </c>
      <c r="O116" s="2">
        <f t="shared" si="21"/>
        <v>0.06051934228355212</v>
      </c>
      <c r="P116" s="2">
        <f t="shared" si="21"/>
        <v>0.06297342004209931</v>
      </c>
      <c r="Q116" s="2">
        <f t="shared" si="21"/>
        <v>0.062114165704638985</v>
      </c>
      <c r="R116" s="2">
        <f t="shared" si="21"/>
        <v>0.062099994563632674</v>
      </c>
      <c r="S116" s="2">
        <f t="shared" si="21"/>
        <v>0.06020382887992964</v>
      </c>
      <c r="T116" s="2">
        <f t="shared" si="21"/>
        <v>0.060203828879929644</v>
      </c>
    </row>
    <row r="117" spans="1:17" ht="12.75">
      <c r="A117" t="s">
        <v>140</v>
      </c>
      <c r="B117" s="12">
        <f>(T83-E83)/E83</f>
        <v>0.4145009730994712</v>
      </c>
      <c r="C117" s="3">
        <f>(T83-E83)</f>
        <v>104147.10000000003</v>
      </c>
      <c r="D117" s="12">
        <f>POWER(T83/E83,1/($T$7-$E$7))-1</f>
        <v>0.023387756038706797</v>
      </c>
      <c r="E117" s="2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</row>
    <row r="118" spans="1:4" ht="12.75">
      <c r="A118" t="str">
        <f>IF(B118&gt;0,"Your property value increased by "&amp;TEXT(B118,"#0%")&amp;" between 1990 and 2005 or $"&amp;TEXT(C118,"#,###"),"Your property value decreased by "&amp;TEXT(B118,"#0%")&amp;" between 1990 and 2005 or $"&amp;TEXT(C118,"#,###"))</f>
        <v>Your property value increased by 140% between 1990 and 2005 or $69,828</v>
      </c>
      <c r="B118" s="12">
        <f>(T98-E98)/E98</f>
        <v>1.3965581930996906</v>
      </c>
      <c r="C118" s="3">
        <f>(T98-E98)</f>
        <v>69827.90965498453</v>
      </c>
      <c r="D118" s="12">
        <f>POWER(T98/E98,1/($T$7-$E$7))-1</f>
        <v>0.06000000000000005</v>
      </c>
    </row>
    <row r="119" spans="1:5" ht="12.75">
      <c r="A119" t="str">
        <f>"Mill rate went from $"&amp;TEXT(B119,"#.##")&amp;" to $"&amp;TEXT(C119,"#.##")&amp;" or "&amp;TEXT(D119,"#.#%")</f>
        <v>Mill rate went from $31.21 to $23.28 or -25.4%</v>
      </c>
      <c r="B119" s="9">
        <f>E93*1000</f>
        <v>31.20884450280266</v>
      </c>
      <c r="C119" s="9">
        <f>T93*1000</f>
        <v>23.277116871128218</v>
      </c>
      <c r="D119" s="2">
        <f>(C119-B119)/B119</f>
        <v>-0.2541499936328032</v>
      </c>
      <c r="E119" s="12">
        <f>POWER(T93/E93,1/($T$7-$E$7))-1</f>
        <v>-0.019358880381401655</v>
      </c>
    </row>
    <row r="120" spans="1:2" ht="12.75">
      <c r="A120" t="str">
        <f>IF(B120&gt;0,"Local full value grew by "&amp;TEXT(B120,"##")&amp;"%","Local full value declined by "&amp;TEXT(B120,"##")&amp;"%")</f>
        <v>Local full value grew by 169%</v>
      </c>
      <c r="B120" s="10">
        <f>(T80-E80)*100/E80</f>
        <v>169.11265799663417</v>
      </c>
    </row>
    <row r="121" ht="12.75">
      <c r="A121" t="s">
        <v>101</v>
      </c>
    </row>
    <row r="122" spans="1:3" ht="12.75">
      <c r="A122" t="s">
        <v>95</v>
      </c>
      <c r="B122" s="11">
        <f>C111/$C$114</f>
        <v>0.3652132691984743</v>
      </c>
      <c r="C122" s="3">
        <f>C111</f>
        <v>448.77626827510016</v>
      </c>
    </row>
    <row r="123" spans="1:3" ht="12.75">
      <c r="A123" t="s">
        <v>96</v>
      </c>
      <c r="B123" s="11">
        <f>C112/$C$114</f>
        <v>0.3292786261717341</v>
      </c>
      <c r="C123" s="3">
        <f>C112</f>
        <v>404.61956215450647</v>
      </c>
    </row>
    <row r="124" spans="1:3" ht="12.75">
      <c r="A124" t="s">
        <v>97</v>
      </c>
      <c r="B124" s="11">
        <f>C113/$C$114</f>
        <v>0.1993816476064286</v>
      </c>
      <c r="C124" s="3">
        <f>C113</f>
        <v>245.00137131306587</v>
      </c>
    </row>
    <row r="125" spans="1:3" ht="12.75">
      <c r="A125" t="s">
        <v>98</v>
      </c>
      <c r="B125" s="11">
        <f>C115/$C$114</f>
        <v>0.03149402301953771</v>
      </c>
      <c r="C125" s="3">
        <f>C115</f>
        <v>38.70004546849383</v>
      </c>
    </row>
    <row r="126" spans="1:3" ht="12.75">
      <c r="A126" t="s">
        <v>99</v>
      </c>
      <c r="B126" s="11">
        <f>C116/$C$114</f>
        <v>0.074632793501191</v>
      </c>
      <c r="C126" s="3">
        <f>C116</f>
        <v>91.70922686330084</v>
      </c>
    </row>
    <row r="127" ht="12.75">
      <c r="C127" s="3"/>
    </row>
    <row r="128" spans="1:4" ht="12.75">
      <c r="A128" t="str">
        <f>"Approximate Cost for UW-Extension Office = $"&amp;TEXT(B128,"##.00")</f>
        <v>Approximate Cost for UW-Extension Office = $10.66</v>
      </c>
      <c r="B128" s="9">
        <f>D128*T104</f>
        <v>10.656714538931025</v>
      </c>
      <c r="C128" s="3">
        <v>400000</v>
      </c>
      <c r="D128" s="17">
        <f>C128/26000000</f>
        <v>0.015384615384615385</v>
      </c>
    </row>
    <row r="129" spans="1:2" ht="12.75">
      <c r="A129" t="str">
        <f>"Cost of UWEX Office is "&amp;TEXT(B129,"0#.#0%")&amp;" of tax bill"</f>
        <v>Cost of UWEX Office is 0.38% of tax bill</v>
      </c>
      <c r="B129">
        <f>D128*T112</f>
        <v>0.003820640385961036</v>
      </c>
    </row>
    <row r="130" spans="1:2" ht="12.75">
      <c r="A130" t="str">
        <f>"1990 to 2005 Inflation Rate="&amp;TEXT(B130,"#.#%")</f>
        <v>1990 to 2005 Inflation Rate=48.9%</v>
      </c>
      <c r="B130">
        <f>(T3-E3)/E3</f>
        <v>0.4885954381752702</v>
      </c>
    </row>
    <row r="132" spans="1:20" ht="12.75">
      <c r="A132" t="str">
        <f>"Amount of your increased property value consumed by increased taxes=$"&amp;TEXT(C132,"#,###")&amp;" ("&amp;TEXT(B132,"#.#%")&amp;")"</f>
        <v>Amount of your increased property value consumed by increased taxes=$8,534 (12.2%)</v>
      </c>
      <c r="B132" s="13">
        <f>C132/C118</f>
        <v>0.12222065425934071</v>
      </c>
      <c r="C132" s="3">
        <f>SUM(F132:T132)</f>
        <v>8534.412803594343</v>
      </c>
      <c r="F132" s="3">
        <f aca="true" t="shared" si="22" ref="F132:T132">F99-$E$99</f>
        <v>143.38846672915997</v>
      </c>
      <c r="G132" s="3">
        <f t="shared" si="22"/>
        <v>378.33760356779726</v>
      </c>
      <c r="H132" s="3">
        <f t="shared" si="22"/>
        <v>437.3331229706612</v>
      </c>
      <c r="I132" s="3">
        <f t="shared" si="22"/>
        <v>456.32852584982857</v>
      </c>
      <c r="J132" s="3">
        <f t="shared" si="22"/>
        <v>386.8297003122352</v>
      </c>
      <c r="K132" s="3">
        <f t="shared" si="22"/>
        <v>368.71651007327</v>
      </c>
      <c r="L132" s="3">
        <f t="shared" si="22"/>
        <v>412.3782114041826</v>
      </c>
      <c r="M132" s="3">
        <f t="shared" si="22"/>
        <v>253.81211499413848</v>
      </c>
      <c r="N132" s="3">
        <f t="shared" si="22"/>
        <v>417.48296185647246</v>
      </c>
      <c r="O132" s="3">
        <f t="shared" si="22"/>
        <v>584.4590642801413</v>
      </c>
      <c r="P132" s="3">
        <f t="shared" si="22"/>
        <v>652.3381836268577</v>
      </c>
      <c r="Q132" s="3">
        <f t="shared" si="22"/>
        <v>824.8100659024276</v>
      </c>
      <c r="R132" s="3">
        <f t="shared" si="22"/>
        <v>918.4681842207779</v>
      </c>
      <c r="S132" s="3">
        <f t="shared" si="22"/>
        <v>1070.9240554844591</v>
      </c>
      <c r="T132" s="3">
        <f t="shared" si="22"/>
        <v>1228.8060323219356</v>
      </c>
    </row>
    <row r="133" spans="2:17" ht="12.75">
      <c r="B133" s="13"/>
      <c r="C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22" ht="12.75">
      <c r="A134" t="str">
        <f>"EXPENDITURE CHANGES IN "&amp;$A$4</f>
        <v>EXPENDITURE CHANGES IN CITY OF MAYVILLE (DODGE)</v>
      </c>
      <c r="B134" t="s">
        <v>103</v>
      </c>
      <c r="C134" t="s">
        <v>104</v>
      </c>
      <c r="D134" t="s">
        <v>118</v>
      </c>
      <c r="E134" t="s">
        <v>126</v>
      </c>
      <c r="F134" t="s">
        <v>127</v>
      </c>
      <c r="G134" t="s">
        <v>128</v>
      </c>
      <c r="H134" t="s">
        <v>129</v>
      </c>
      <c r="I134" t="s">
        <v>130</v>
      </c>
      <c r="J134" t="s">
        <v>131</v>
      </c>
      <c r="K134" t="s">
        <v>132</v>
      </c>
      <c r="L134" t="s">
        <v>133</v>
      </c>
      <c r="M134" t="s">
        <v>134</v>
      </c>
      <c r="N134" t="s">
        <v>135</v>
      </c>
      <c r="O134" t="s">
        <v>136</v>
      </c>
      <c r="P134" t="s">
        <v>137</v>
      </c>
      <c r="Q134" t="s">
        <v>138</v>
      </c>
      <c r="R134" t="s">
        <v>144</v>
      </c>
      <c r="S134" t="s">
        <v>177</v>
      </c>
      <c r="T134" t="s">
        <v>182</v>
      </c>
      <c r="V134" t="s">
        <v>139</v>
      </c>
    </row>
    <row r="135" spans="1:23" ht="12.75">
      <c r="A135" t="s">
        <v>23</v>
      </c>
      <c r="B135" s="14">
        <f>(T31-E31)</f>
        <v>231374</v>
      </c>
      <c r="C135" s="16">
        <f aca="true" t="shared" si="23" ref="C135:C150">IF(E31=0,"",B135/E31)</f>
        <v>0.6606910336950315</v>
      </c>
      <c r="D135" s="2">
        <f aca="true" t="shared" si="24" ref="D135:D152">B135/$B$152</f>
        <v>0.06978704716644513</v>
      </c>
      <c r="E135" s="2">
        <f aca="true" t="shared" si="25" ref="E135:T135">E31/SUM(E$31:E$46,E$50)</f>
        <v>0.062194753760633666</v>
      </c>
      <c r="F135" s="2">
        <f t="shared" si="25"/>
        <v>0.09915195328791881</v>
      </c>
      <c r="G135" s="2">
        <f t="shared" si="25"/>
        <v>0.09464952301949399</v>
      </c>
      <c r="H135" s="2">
        <f t="shared" si="25"/>
        <v>0.21849472791176827</v>
      </c>
      <c r="I135" s="2">
        <f t="shared" si="25"/>
        <v>0.07840136054421769</v>
      </c>
      <c r="J135" s="2">
        <f t="shared" si="25"/>
        <v>0.06833102781986254</v>
      </c>
      <c r="K135" s="2">
        <f t="shared" si="25"/>
        <v>0.09781468779229614</v>
      </c>
      <c r="L135" s="2">
        <f t="shared" si="25"/>
        <v>0.06551291780776718</v>
      </c>
      <c r="M135" s="2">
        <f t="shared" si="25"/>
        <v>0.05810788421027717</v>
      </c>
      <c r="N135" s="2">
        <f t="shared" si="25"/>
        <v>0.09400394017727576</v>
      </c>
      <c r="O135" s="2">
        <f t="shared" si="25"/>
        <v>0.10143076136944303</v>
      </c>
      <c r="P135" s="2">
        <f t="shared" si="25"/>
        <v>0.12575897011725576</v>
      </c>
      <c r="Q135" s="2">
        <f t="shared" si="25"/>
        <v>0.11967097634150298</v>
      </c>
      <c r="R135" s="2">
        <f t="shared" si="25"/>
        <v>0.10886758131423731</v>
      </c>
      <c r="S135" s="2">
        <f t="shared" si="25"/>
        <v>0.06210506664005512</v>
      </c>
      <c r="T135" s="2">
        <f t="shared" si="25"/>
        <v>0.06210506664005512</v>
      </c>
      <c r="V135" s="2">
        <f aca="true" t="shared" si="26" ref="V135:V152">T135-E135</f>
        <v>-8.968712057854517E-05</v>
      </c>
      <c r="W135" t="s">
        <v>23</v>
      </c>
    </row>
    <row r="136" spans="1:23" ht="12.75">
      <c r="A136" t="s">
        <v>24</v>
      </c>
      <c r="B136" s="14">
        <f aca="true" t="shared" si="27" ref="B136:B150">(S32-E32)</f>
        <v>554691</v>
      </c>
      <c r="C136" s="16">
        <f t="shared" si="23"/>
        <v>1.177687898089172</v>
      </c>
      <c r="D136" s="2">
        <f t="shared" si="24"/>
        <v>0.167305950451661</v>
      </c>
      <c r="E136" s="2">
        <f aca="true" t="shared" si="28" ref="E136:T136">E32/SUM(E$31:E$46,E$50)</f>
        <v>0.08364856944962439</v>
      </c>
      <c r="F136" s="2">
        <f t="shared" si="28"/>
        <v>0.12445433059919365</v>
      </c>
      <c r="G136" s="2">
        <f t="shared" si="28"/>
        <v>0.1338310521222176</v>
      </c>
      <c r="H136" s="2">
        <f t="shared" si="28"/>
        <v>0.2617864501272573</v>
      </c>
      <c r="I136" s="2">
        <f t="shared" si="28"/>
        <v>0.1367559523809524</v>
      </c>
      <c r="J136" s="2">
        <f t="shared" si="28"/>
        <v>0.1449399468634038</v>
      </c>
      <c r="K136" s="2">
        <f t="shared" si="28"/>
        <v>0.1861058360023809</v>
      </c>
      <c r="L136" s="2">
        <f t="shared" si="28"/>
        <v>0.11873494572211041</v>
      </c>
      <c r="M136" s="2">
        <f t="shared" si="28"/>
        <v>0.09105540959549338</v>
      </c>
      <c r="N136" s="2">
        <f t="shared" si="28"/>
        <v>0.12600630625084688</v>
      </c>
      <c r="O136" s="2">
        <f t="shared" si="28"/>
        <v>0.1700521915228402</v>
      </c>
      <c r="P136" s="2">
        <f t="shared" si="28"/>
        <v>0.18860531802509747</v>
      </c>
      <c r="Q136" s="2">
        <f t="shared" si="28"/>
        <v>0.19930131877953314</v>
      </c>
      <c r="R136" s="2">
        <f t="shared" si="28"/>
        <v>0.21502802072641</v>
      </c>
      <c r="S136" s="2">
        <f t="shared" si="28"/>
        <v>0.11500795823482483</v>
      </c>
      <c r="T136" s="2">
        <f t="shared" si="28"/>
        <v>0.11500795823482483</v>
      </c>
      <c r="V136" s="2">
        <f t="shared" si="26"/>
        <v>0.03135938878520045</v>
      </c>
      <c r="W136" t="s">
        <v>24</v>
      </c>
    </row>
    <row r="137" spans="1:23" ht="12.75">
      <c r="A137" t="s">
        <v>25</v>
      </c>
      <c r="B137" s="14">
        <f t="shared" si="27"/>
        <v>154483</v>
      </c>
      <c r="C137" s="16">
        <f t="shared" si="23"/>
        <v>0.8012603734439834</v>
      </c>
      <c r="D137" s="2">
        <f t="shared" si="24"/>
        <v>0.04659517667246079</v>
      </c>
      <c r="E137" s="2">
        <f aca="true" t="shared" si="29" ref="E137:T137">E33/SUM(E$31:E$46,E$50)</f>
        <v>0.03424085815262756</v>
      </c>
      <c r="F137" s="2">
        <f t="shared" si="29"/>
        <v>0.052662310579730295</v>
      </c>
      <c r="G137" s="2">
        <f t="shared" si="29"/>
        <v>0.056574035669846534</v>
      </c>
      <c r="H137" s="2">
        <f t="shared" si="29"/>
        <v>0.054999394012846925</v>
      </c>
      <c r="I137" s="2">
        <f t="shared" si="29"/>
        <v>0.056377551020408166</v>
      </c>
      <c r="J137" s="2">
        <f t="shared" si="29"/>
        <v>0.05506883604505632</v>
      </c>
      <c r="K137" s="2">
        <f t="shared" si="29"/>
        <v>0.0711714520563476</v>
      </c>
      <c r="L137" s="2">
        <f t="shared" si="29"/>
        <v>0.047761243277130695</v>
      </c>
      <c r="M137" s="2">
        <f t="shared" si="29"/>
        <v>0.06310208525645578</v>
      </c>
      <c r="N137" s="2">
        <f t="shared" si="29"/>
        <v>0.05111936546085439</v>
      </c>
      <c r="O137" s="2">
        <f t="shared" si="29"/>
        <v>0.12671136951540268</v>
      </c>
      <c r="P137" s="2">
        <f t="shared" si="29"/>
        <v>0.06824282744878568</v>
      </c>
      <c r="Q137" s="2">
        <f t="shared" si="29"/>
        <v>0.07551714174465395</v>
      </c>
      <c r="R137" s="2">
        <f t="shared" si="29"/>
        <v>0.08597412470828995</v>
      </c>
      <c r="S137" s="2">
        <f t="shared" si="29"/>
        <v>0.038939903693865574</v>
      </c>
      <c r="T137" s="2">
        <f t="shared" si="29"/>
        <v>0.038939903693865574</v>
      </c>
      <c r="V137" s="2">
        <f t="shared" si="26"/>
        <v>0.004699045541238012</v>
      </c>
      <c r="W137" t="s">
        <v>25</v>
      </c>
    </row>
    <row r="138" spans="1:23" ht="12.75">
      <c r="A138" t="s">
        <v>26</v>
      </c>
      <c r="B138" s="14">
        <f t="shared" si="27"/>
        <v>-7285</v>
      </c>
      <c r="C138" s="16">
        <f t="shared" si="23"/>
        <v>-0.06516100178890877</v>
      </c>
      <c r="D138" s="2">
        <f t="shared" si="24"/>
        <v>-0.0021973023702211688</v>
      </c>
      <c r="E138" s="2">
        <f aca="true" t="shared" si="30" ref="E138:T138">E34/SUM(E$31:E$46,E$50)</f>
        <v>0.019855435381036107</v>
      </c>
      <c r="F138" s="2">
        <f t="shared" si="30"/>
        <v>0.015820937022104825</v>
      </c>
      <c r="G138" s="2">
        <f t="shared" si="30"/>
        <v>0.014903912622701507</v>
      </c>
      <c r="H138" s="2">
        <f t="shared" si="30"/>
        <v>0.017331232577869348</v>
      </c>
      <c r="I138" s="2">
        <f t="shared" si="30"/>
        <v>0.017453231292517007</v>
      </c>
      <c r="J138" s="2">
        <f t="shared" si="30"/>
        <v>0.020859407592824362</v>
      </c>
      <c r="K138" s="2">
        <f t="shared" si="30"/>
        <v>0.02233496782971004</v>
      </c>
      <c r="L138" s="2">
        <f t="shared" si="30"/>
        <v>0.014204639192265812</v>
      </c>
      <c r="M138" s="2">
        <f t="shared" si="30"/>
        <v>0.019716442992733556</v>
      </c>
      <c r="N138" s="2">
        <f t="shared" si="30"/>
        <v>0.05643183827398732</v>
      </c>
      <c r="O138" s="2">
        <f t="shared" si="30"/>
        <v>0.03848771968425974</v>
      </c>
      <c r="P138" s="2">
        <f t="shared" si="30"/>
        <v>0.020293469772151736</v>
      </c>
      <c r="Q138" s="2">
        <f t="shared" si="30"/>
        <v>0.018682119482871417</v>
      </c>
      <c r="R138" s="2">
        <f t="shared" si="30"/>
        <v>0.046993745478166135</v>
      </c>
      <c r="S138" s="2">
        <f t="shared" si="30"/>
        <v>0.011718984328528493</v>
      </c>
      <c r="T138" s="2">
        <f t="shared" si="30"/>
        <v>0.011718984328528493</v>
      </c>
      <c r="V138" s="2">
        <f t="shared" si="26"/>
        <v>-0.008136451052507614</v>
      </c>
      <c r="W138" t="s">
        <v>26</v>
      </c>
    </row>
    <row r="139" spans="1:23" ht="12.75">
      <c r="A139" t="s">
        <v>27</v>
      </c>
      <c r="B139" s="14">
        <f t="shared" si="27"/>
        <v>68568</v>
      </c>
      <c r="C139" s="16">
        <f t="shared" si="23"/>
        <v>15.237333333333334</v>
      </c>
      <c r="D139" s="2">
        <f t="shared" si="24"/>
        <v>0.020681486468267004</v>
      </c>
      <c r="E139" s="2">
        <f aca="true" t="shared" si="31" ref="E139:T139">E35/SUM(E$31:E$46,E$50)</f>
        <v>0.000799190153977303</v>
      </c>
      <c r="F139" s="2">
        <f t="shared" si="31"/>
        <v>0.0027526762129848462</v>
      </c>
      <c r="G139" s="2">
        <f t="shared" si="31"/>
        <v>0.0014102032351721277</v>
      </c>
      <c r="H139" s="2">
        <f t="shared" si="31"/>
        <v>0.0029329778208701976</v>
      </c>
      <c r="I139" s="2">
        <f t="shared" si="31"/>
        <v>0.0033163265306122448</v>
      </c>
      <c r="J139" s="2">
        <f t="shared" si="31"/>
        <v>0.0005269745076081945</v>
      </c>
      <c r="K139" s="2">
        <f t="shared" si="31"/>
        <v>0.003911453756979677</v>
      </c>
      <c r="L139" s="2">
        <f t="shared" si="31"/>
        <v>0.000923878971854687</v>
      </c>
      <c r="M139" s="2">
        <f t="shared" si="31"/>
        <v>0.0009822717697460296</v>
      </c>
      <c r="N139" s="2">
        <f t="shared" si="31"/>
        <v>0.002001462176485821</v>
      </c>
      <c r="O139" s="2">
        <f t="shared" si="31"/>
        <v>0.003279250341260616</v>
      </c>
      <c r="P139" s="2">
        <f t="shared" si="31"/>
        <v>0.016351840514973216</v>
      </c>
      <c r="Q139" s="2">
        <f t="shared" si="31"/>
        <v>0.011373564839403142</v>
      </c>
      <c r="R139" s="2">
        <f t="shared" si="31"/>
        <v>0.01199843748043316</v>
      </c>
      <c r="S139" s="2">
        <f t="shared" si="31"/>
        <v>0.008192917255101372</v>
      </c>
      <c r="T139" s="2">
        <f t="shared" si="31"/>
        <v>0.008192917255101373</v>
      </c>
      <c r="V139" s="2">
        <f t="shared" si="26"/>
        <v>0.00739372710112407</v>
      </c>
      <c r="W139" t="s">
        <v>27</v>
      </c>
    </row>
    <row r="140" spans="1:23" ht="12.75">
      <c r="A140" t="s">
        <v>28</v>
      </c>
      <c r="B140" s="14">
        <f t="shared" si="27"/>
        <v>167777</v>
      </c>
      <c r="C140" s="16">
        <f t="shared" si="23"/>
        <v>0.37821686203787197</v>
      </c>
      <c r="D140" s="2">
        <f t="shared" si="24"/>
        <v>0.05060491417551092</v>
      </c>
      <c r="E140" s="2">
        <f aca="true" t="shared" si="32" ref="E140:T140">E36/SUM(E$31:E$46,E$50)</f>
        <v>0.07878238940096258</v>
      </c>
      <c r="F140" s="2">
        <f t="shared" si="32"/>
        <v>0.16179619074099819</v>
      </c>
      <c r="G140" s="2">
        <f t="shared" si="32"/>
        <v>0.1342458177796212</v>
      </c>
      <c r="H140" s="2">
        <f t="shared" si="32"/>
        <v>0.11402254272209429</v>
      </c>
      <c r="I140" s="2">
        <f t="shared" si="32"/>
        <v>0.12476615646258503</v>
      </c>
      <c r="J140" s="2">
        <f t="shared" si="32"/>
        <v>0.10104736183387128</v>
      </c>
      <c r="K140" s="2">
        <f t="shared" si="32"/>
        <v>0.13007000935347637</v>
      </c>
      <c r="L140" s="2">
        <f t="shared" si="32"/>
        <v>0.11786056026660507</v>
      </c>
      <c r="M140" s="2">
        <f t="shared" si="32"/>
        <v>0.05669956685365334</v>
      </c>
      <c r="N140" s="2">
        <f t="shared" si="32"/>
        <v>0.08233722348253401</v>
      </c>
      <c r="O140" s="2">
        <f t="shared" si="32"/>
        <v>0.12127924599860167</v>
      </c>
      <c r="P140" s="2">
        <f t="shared" si="32"/>
        <v>0.11149944711708779</v>
      </c>
      <c r="Q140" s="2">
        <f t="shared" si="32"/>
        <v>0.12219348565715134</v>
      </c>
      <c r="R140" s="2">
        <f t="shared" si="32"/>
        <v>0.12374989345539407</v>
      </c>
      <c r="S140" s="2">
        <f t="shared" si="32"/>
        <v>0.06855204977106409</v>
      </c>
      <c r="T140" s="2">
        <f t="shared" si="32"/>
        <v>0.06855204977106409</v>
      </c>
      <c r="V140" s="2">
        <f t="shared" si="26"/>
        <v>-0.010230339629898486</v>
      </c>
      <c r="W140" t="s">
        <v>28</v>
      </c>
    </row>
    <row r="141" spans="1:23" ht="12.75">
      <c r="A141" t="s">
        <v>29</v>
      </c>
      <c r="B141" s="14">
        <f t="shared" si="27"/>
        <v>643202</v>
      </c>
      <c r="C141" s="16">
        <f t="shared" si="23"/>
        <v>1.6603045947341248</v>
      </c>
      <c r="D141" s="2">
        <f t="shared" si="24"/>
        <v>0.1940026464146872</v>
      </c>
      <c r="E141" s="2">
        <f aca="true" t="shared" si="33" ref="E141:T141">E37/SUM(E$31:E$46,E$50)</f>
        <v>0.06880139236684604</v>
      </c>
      <c r="F141" s="2">
        <f t="shared" si="33"/>
        <v>0</v>
      </c>
      <c r="G141" s="2">
        <f t="shared" si="33"/>
        <v>0.1337757500345638</v>
      </c>
      <c r="H141" s="2">
        <f t="shared" si="33"/>
        <v>0.0017694824869712762</v>
      </c>
      <c r="I141" s="2">
        <f t="shared" si="33"/>
        <v>0.04923469387755102</v>
      </c>
      <c r="J141" s="2">
        <f t="shared" si="33"/>
        <v>0.003535120655204971</v>
      </c>
      <c r="K141" s="2">
        <f t="shared" si="33"/>
        <v>0</v>
      </c>
      <c r="L141" s="2">
        <f t="shared" si="33"/>
        <v>0.03507440525291187</v>
      </c>
      <c r="M141" s="2">
        <f t="shared" si="33"/>
        <v>0.1436483703756302</v>
      </c>
      <c r="N141" s="2">
        <f t="shared" si="33"/>
        <v>0.16596635840893084</v>
      </c>
      <c r="O141" s="2">
        <f t="shared" si="33"/>
        <v>0.10312964574035821</v>
      </c>
      <c r="P141" s="2">
        <f t="shared" si="33"/>
        <v>0.11662704803513613</v>
      </c>
      <c r="Q141" s="2">
        <f t="shared" si="33"/>
        <v>0.09206916024818511</v>
      </c>
      <c r="R141" s="2">
        <f t="shared" si="33"/>
        <v>0.006749777518704385</v>
      </c>
      <c r="S141" s="2">
        <f t="shared" si="33"/>
        <v>0.11555861538487414</v>
      </c>
      <c r="T141" s="2">
        <f t="shared" si="33"/>
        <v>0.11555861538487415</v>
      </c>
      <c r="V141" s="2">
        <f t="shared" si="26"/>
        <v>0.04675722301802811</v>
      </c>
      <c r="W141" t="s">
        <v>29</v>
      </c>
    </row>
    <row r="142" spans="1:23" ht="12.75">
      <c r="A142" t="s">
        <v>30</v>
      </c>
      <c r="B142" s="14">
        <f t="shared" si="27"/>
        <v>-130844</v>
      </c>
      <c r="C142" s="16">
        <f t="shared" si="23"/>
        <v>-0.6625012658227848</v>
      </c>
      <c r="D142" s="2">
        <f t="shared" si="24"/>
        <v>-0.039465179317669</v>
      </c>
      <c r="E142" s="2">
        <f aca="true" t="shared" si="34" ref="E142:T142">E38/SUM(E$31:E$46,E$50)</f>
        <v>0.03507556786900386</v>
      </c>
      <c r="F142" s="2">
        <f t="shared" si="34"/>
        <v>0.06623105797302933</v>
      </c>
      <c r="G142" s="2">
        <f t="shared" si="34"/>
        <v>0.046951472418083784</v>
      </c>
      <c r="H142" s="2">
        <f t="shared" si="34"/>
        <v>0.014204338868015998</v>
      </c>
      <c r="I142" s="2">
        <f t="shared" si="34"/>
        <v>0.022066326530612246</v>
      </c>
      <c r="J142" s="2">
        <f t="shared" si="34"/>
        <v>0.0761478163493841</v>
      </c>
      <c r="K142" s="2">
        <f t="shared" si="34"/>
        <v>0.016694538136674132</v>
      </c>
      <c r="L142" s="2">
        <f t="shared" si="34"/>
        <v>0.0398587785000165</v>
      </c>
      <c r="M142" s="2">
        <f t="shared" si="34"/>
        <v>0.08440436460034557</v>
      </c>
      <c r="N142" s="2">
        <f t="shared" si="34"/>
        <v>0.03800743094980929</v>
      </c>
      <c r="O142" s="2">
        <f t="shared" si="34"/>
        <v>0.010908759287861834</v>
      </c>
      <c r="P142" s="2">
        <f t="shared" si="34"/>
        <v>0.012133570779759947</v>
      </c>
      <c r="Q142" s="2">
        <f t="shared" si="34"/>
        <v>0.013273444828866027</v>
      </c>
      <c r="R142" s="2">
        <f t="shared" si="34"/>
        <v>0.013187899441282106</v>
      </c>
      <c r="S142" s="2">
        <f t="shared" si="34"/>
        <v>0.007473957033941493</v>
      </c>
      <c r="T142" s="2">
        <f t="shared" si="34"/>
        <v>0.0074739570339414935</v>
      </c>
      <c r="V142" s="2">
        <f t="shared" si="26"/>
        <v>-0.027601610835062365</v>
      </c>
      <c r="W142" t="s">
        <v>30</v>
      </c>
    </row>
    <row r="143" spans="1:23" ht="12.75">
      <c r="A143" t="s">
        <v>31</v>
      </c>
      <c r="B143" s="14">
        <f t="shared" si="27"/>
        <v>0</v>
      </c>
      <c r="C143" s="16">
        <f t="shared" si="23"/>
      </c>
      <c r="D143" s="2">
        <f t="shared" si="24"/>
        <v>0</v>
      </c>
      <c r="E143" s="2">
        <f aca="true" t="shared" si="35" ref="E143:T143">E39/SUM(E$31:E$46,E$50)</f>
        <v>0</v>
      </c>
      <c r="F143" s="2">
        <f t="shared" si="35"/>
        <v>0</v>
      </c>
      <c r="G143" s="2">
        <f t="shared" si="35"/>
        <v>0</v>
      </c>
      <c r="H143" s="2">
        <f t="shared" si="35"/>
        <v>0</v>
      </c>
      <c r="I143" s="2">
        <f t="shared" si="35"/>
        <v>0</v>
      </c>
      <c r="J143" s="2">
        <f t="shared" si="35"/>
        <v>0</v>
      </c>
      <c r="K143" s="2">
        <f t="shared" si="35"/>
        <v>0</v>
      </c>
      <c r="L143" s="2">
        <f t="shared" si="35"/>
        <v>0</v>
      </c>
      <c r="M143" s="2">
        <f t="shared" si="35"/>
        <v>0</v>
      </c>
      <c r="N143" s="2">
        <f t="shared" si="35"/>
        <v>0</v>
      </c>
      <c r="O143" s="2">
        <f t="shared" si="35"/>
        <v>0</v>
      </c>
      <c r="P143" s="2">
        <f t="shared" si="35"/>
        <v>0</v>
      </c>
      <c r="Q143" s="2">
        <f t="shared" si="35"/>
        <v>0</v>
      </c>
      <c r="R143" s="2">
        <f t="shared" si="35"/>
        <v>0</v>
      </c>
      <c r="S143" s="2">
        <f t="shared" si="35"/>
        <v>0</v>
      </c>
      <c r="T143" s="2">
        <f t="shared" si="35"/>
        <v>0</v>
      </c>
      <c r="V143" s="2">
        <f t="shared" si="26"/>
        <v>0</v>
      </c>
      <c r="W143" t="s">
        <v>31</v>
      </c>
    </row>
    <row r="144" spans="1:23" ht="12.75">
      <c r="A144" t="s">
        <v>32</v>
      </c>
      <c r="B144" s="14">
        <f t="shared" si="27"/>
        <v>-151523</v>
      </c>
      <c r="C144" s="16">
        <f t="shared" si="23"/>
        <v>-0.7610396785534908</v>
      </c>
      <c r="D144" s="2">
        <f t="shared" si="24"/>
        <v>-0.045702381200140314</v>
      </c>
      <c r="E144" s="2">
        <f aca="true" t="shared" si="36" ref="E144:T144">E40/SUM(E$31:E$46,E$50)</f>
        <v>0.03535972436819578</v>
      </c>
      <c r="F144" s="2">
        <f t="shared" si="36"/>
        <v>0.05580425413596552</v>
      </c>
      <c r="G144" s="2">
        <f t="shared" si="36"/>
        <v>0.05850960873772985</v>
      </c>
      <c r="H144" s="2">
        <f t="shared" si="36"/>
        <v>0.042491819173433525</v>
      </c>
      <c r="I144" s="2">
        <f t="shared" si="36"/>
        <v>0.042708333333333334</v>
      </c>
      <c r="J144" s="2">
        <f t="shared" si="36"/>
        <v>0.04343148233537536</v>
      </c>
      <c r="K144" s="2">
        <f t="shared" si="36"/>
        <v>0.06822368980471075</v>
      </c>
      <c r="L144" s="2">
        <f t="shared" si="36"/>
        <v>0.03881941465667998</v>
      </c>
      <c r="M144" s="2">
        <f t="shared" si="36"/>
        <v>0.045255509006130325</v>
      </c>
      <c r="N144" s="2">
        <f t="shared" si="36"/>
        <v>0.0512418070547726</v>
      </c>
      <c r="O144" s="2">
        <f t="shared" si="36"/>
        <v>0.008665956883186816</v>
      </c>
      <c r="P144" s="2">
        <f t="shared" si="36"/>
        <v>0.008093823712746081</v>
      </c>
      <c r="Q144" s="2">
        <f t="shared" si="36"/>
        <v>0.008661735712378053</v>
      </c>
      <c r="R144" s="2">
        <f t="shared" si="36"/>
        <v>0.00892025777533247</v>
      </c>
      <c r="S144" s="2">
        <f t="shared" si="36"/>
        <v>0.0053346803559144625</v>
      </c>
      <c r="T144" s="2">
        <f t="shared" si="36"/>
        <v>0.0053346803559144625</v>
      </c>
      <c r="V144" s="2">
        <f t="shared" si="26"/>
        <v>-0.03002504401228132</v>
      </c>
      <c r="W144" t="s">
        <v>32</v>
      </c>
    </row>
    <row r="145" spans="1:23" ht="12.75">
      <c r="A145" t="s">
        <v>33</v>
      </c>
      <c r="B145" s="14">
        <f t="shared" si="27"/>
        <v>13759</v>
      </c>
      <c r="C145" s="16">
        <f t="shared" si="23"/>
        <v>1.719875</v>
      </c>
      <c r="D145" s="2">
        <f t="shared" si="24"/>
        <v>0.004149990845830208</v>
      </c>
      <c r="E145" s="2">
        <f aca="true" t="shared" si="37" ref="E145:T145">E41/SUM(E$31:E$46,E$50)</f>
        <v>0.0014207824959596499</v>
      </c>
      <c r="F145" s="2">
        <f t="shared" si="37"/>
        <v>0.00836924787988322</v>
      </c>
      <c r="G145" s="2">
        <f t="shared" si="37"/>
        <v>0.0011336927969030832</v>
      </c>
      <c r="H145" s="2">
        <f t="shared" si="37"/>
        <v>0.001115016361653133</v>
      </c>
      <c r="I145" s="2">
        <f t="shared" si="37"/>
        <v>0.015752551020408165</v>
      </c>
      <c r="J145" s="2">
        <f t="shared" si="37"/>
        <v>0.0006806754056605845</v>
      </c>
      <c r="K145" s="2">
        <f t="shared" si="37"/>
        <v>0.000963691505342819</v>
      </c>
      <c r="L145" s="2">
        <f t="shared" si="37"/>
        <v>0.0008083941003728511</v>
      </c>
      <c r="M145" s="2">
        <f t="shared" si="37"/>
        <v>0.08071196951407134</v>
      </c>
      <c r="N145" s="2">
        <f t="shared" si="37"/>
        <v>0.005176633870295686</v>
      </c>
      <c r="O145" s="2">
        <f t="shared" si="37"/>
        <v>0.002506076103650584</v>
      </c>
      <c r="P145" s="2">
        <f t="shared" si="37"/>
        <v>0.003804702171647655</v>
      </c>
      <c r="Q145" s="2">
        <f t="shared" si="37"/>
        <v>0.0031044399444148936</v>
      </c>
      <c r="R145" s="2">
        <f t="shared" si="37"/>
        <v>0.004576873498528977</v>
      </c>
      <c r="S145" s="2">
        <f t="shared" si="37"/>
        <v>0.0024397778309759506</v>
      </c>
      <c r="T145" s="2">
        <f t="shared" si="37"/>
        <v>0.0024397778309759506</v>
      </c>
      <c r="V145" s="2">
        <f t="shared" si="26"/>
        <v>0.0010189953350163007</v>
      </c>
      <c r="W145" t="s">
        <v>33</v>
      </c>
    </row>
    <row r="146" spans="1:23" ht="12.75">
      <c r="A146" t="s">
        <v>34</v>
      </c>
      <c r="B146" s="14">
        <f t="shared" si="27"/>
        <v>27878</v>
      </c>
      <c r="C146" s="16">
        <f t="shared" si="23"/>
        <v>4.4964516129032255</v>
      </c>
      <c r="D146" s="2">
        <f t="shared" si="24"/>
        <v>0.008408564924780473</v>
      </c>
      <c r="E146" s="2">
        <f aca="true" t="shared" si="38" ref="E146:T146">E42/SUM(E$31:E$46,E$50)</f>
        <v>0.0011011064343687286</v>
      </c>
      <c r="F146" s="2">
        <f t="shared" si="38"/>
        <v>0.005644376477130544</v>
      </c>
      <c r="G146" s="2">
        <f t="shared" si="38"/>
        <v>0.015235725148624361</v>
      </c>
      <c r="H146" s="2">
        <f t="shared" si="38"/>
        <v>0.00450854441885832</v>
      </c>
      <c r="I146" s="2">
        <f t="shared" si="38"/>
        <v>0.005208333333333333</v>
      </c>
      <c r="J146" s="2">
        <f t="shared" si="38"/>
        <v>0.013811123553564763</v>
      </c>
      <c r="K146" s="2">
        <f t="shared" si="38"/>
        <v>0.005271959411581304</v>
      </c>
      <c r="L146" s="2">
        <f t="shared" si="38"/>
        <v>0.004173953212129211</v>
      </c>
      <c r="M146" s="2">
        <f t="shared" si="38"/>
        <v>0.0018343629435016214</v>
      </c>
      <c r="N146" s="2">
        <f t="shared" si="38"/>
        <v>0.0036783354184017503</v>
      </c>
      <c r="O146" s="2">
        <f t="shared" si="38"/>
        <v>0.0030338901104627683</v>
      </c>
      <c r="P146" s="2">
        <f t="shared" si="38"/>
        <v>0.004097662447667185</v>
      </c>
      <c r="Q146" s="2">
        <f t="shared" si="38"/>
        <v>0.008255963624678637</v>
      </c>
      <c r="R146" s="2">
        <f t="shared" si="38"/>
        <v>0.007726150267684486</v>
      </c>
      <c r="S146" s="2">
        <f t="shared" si="38"/>
        <v>0.0038210739888780935</v>
      </c>
      <c r="T146" s="2">
        <f t="shared" si="38"/>
        <v>0.0038210739888780935</v>
      </c>
      <c r="V146" s="2">
        <f t="shared" si="26"/>
        <v>0.002719967554509365</v>
      </c>
      <c r="W146" t="s">
        <v>34</v>
      </c>
    </row>
    <row r="147" spans="1:23" ht="12.75">
      <c r="A147" t="s">
        <v>35</v>
      </c>
      <c r="B147" s="14">
        <f t="shared" si="27"/>
        <v>96122</v>
      </c>
      <c r="C147" s="16">
        <f t="shared" si="23"/>
        <v>0.7298557327258922</v>
      </c>
      <c r="D147" s="2">
        <f t="shared" si="24"/>
        <v>0.028992326483239423</v>
      </c>
      <c r="E147" s="2">
        <f aca="true" t="shared" si="39" ref="E147:T147">E43/SUM(E$31:E$46,E$50)</f>
        <v>0.023389631839735733</v>
      </c>
      <c r="F147" s="2">
        <f t="shared" si="39"/>
        <v>0.03750868900319755</v>
      </c>
      <c r="G147" s="2">
        <f t="shared" si="39"/>
        <v>0.053587722936540856</v>
      </c>
      <c r="H147" s="2">
        <f t="shared" si="39"/>
        <v>0.0413283238395346</v>
      </c>
      <c r="I147" s="2">
        <f t="shared" si="39"/>
        <v>0.03282312925170068</v>
      </c>
      <c r="J147" s="2">
        <f t="shared" si="39"/>
        <v>0.0412796697626419</v>
      </c>
      <c r="K147" s="2">
        <f t="shared" si="39"/>
        <v>0.0501969898812392</v>
      </c>
      <c r="L147" s="2">
        <f t="shared" si="39"/>
        <v>0.028508265417230342</v>
      </c>
      <c r="M147" s="2">
        <f t="shared" si="39"/>
        <v>0.0215034675376932</v>
      </c>
      <c r="N147" s="2">
        <f t="shared" si="39"/>
        <v>0.03479308472941341</v>
      </c>
      <c r="O147" s="2">
        <f t="shared" si="39"/>
        <v>0.03594382625890064</v>
      </c>
      <c r="P147" s="2">
        <f t="shared" si="39"/>
        <v>0.03834177318983587</v>
      </c>
      <c r="Q147" s="2">
        <f t="shared" si="39"/>
        <v>0.039370421523091045</v>
      </c>
      <c r="R147" s="2">
        <f t="shared" si="39"/>
        <v>0.04579580034490155</v>
      </c>
      <c r="S147" s="2">
        <f t="shared" si="39"/>
        <v>0.02554506480116747</v>
      </c>
      <c r="T147" s="2">
        <f t="shared" si="39"/>
        <v>0.02554506480116747</v>
      </c>
      <c r="V147" s="2">
        <f t="shared" si="26"/>
        <v>0.002155432961431735</v>
      </c>
      <c r="W147" t="s">
        <v>35</v>
      </c>
    </row>
    <row r="148" spans="1:23" ht="12.75">
      <c r="A148" t="s">
        <v>36</v>
      </c>
      <c r="B148" s="14">
        <f t="shared" si="27"/>
        <v>48949</v>
      </c>
      <c r="C148" s="16">
        <f t="shared" si="23"/>
        <v>0.17272053634438955</v>
      </c>
      <c r="D148" s="2">
        <f t="shared" si="24"/>
        <v>0.014764001883315855</v>
      </c>
      <c r="E148" s="2">
        <f aca="true" t="shared" si="40" ref="E148:T148">E44/SUM(E$31:E$46,E$50)</f>
        <v>0.05033121991937059</v>
      </c>
      <c r="F148" s="2">
        <f t="shared" si="40"/>
        <v>0.26075351035729183</v>
      </c>
      <c r="G148" s="2">
        <f t="shared" si="40"/>
        <v>0.10971934190515692</v>
      </c>
      <c r="H148" s="2">
        <f t="shared" si="40"/>
        <v>0.07332444552175493</v>
      </c>
      <c r="I148" s="2">
        <f t="shared" si="40"/>
        <v>0.07967687074829932</v>
      </c>
      <c r="J148" s="2">
        <f t="shared" si="40"/>
        <v>0.2536284390575939</v>
      </c>
      <c r="K148" s="2">
        <f t="shared" si="40"/>
        <v>0.10356849295654885</v>
      </c>
      <c r="L148" s="2">
        <f t="shared" si="40"/>
        <v>0.053584980367571845</v>
      </c>
      <c r="M148" s="2">
        <f t="shared" si="40"/>
        <v>0.08577717815806292</v>
      </c>
      <c r="N148" s="2">
        <f t="shared" si="40"/>
        <v>0.1306204210532385</v>
      </c>
      <c r="O148" s="2">
        <f t="shared" si="40"/>
        <v>0.13552389113822538</v>
      </c>
      <c r="P148" s="2">
        <f t="shared" si="40"/>
        <v>0.08071811887659287</v>
      </c>
      <c r="Q148" s="2">
        <f t="shared" si="40"/>
        <v>0.09226921155689122</v>
      </c>
      <c r="R148" s="2">
        <f t="shared" si="40"/>
        <v>0.09458717045399918</v>
      </c>
      <c r="S148" s="2">
        <f t="shared" si="40"/>
        <v>0.03726539465724648</v>
      </c>
      <c r="T148" s="2">
        <f t="shared" si="40"/>
        <v>0.03726539465724648</v>
      </c>
      <c r="V148" s="2">
        <f t="shared" si="26"/>
        <v>-0.01306582526212411</v>
      </c>
      <c r="W148" t="s">
        <v>36</v>
      </c>
    </row>
    <row r="149" spans="1:23" ht="12.75">
      <c r="A149" t="s">
        <v>37</v>
      </c>
      <c r="B149" s="14">
        <f t="shared" si="27"/>
        <v>-139700</v>
      </c>
      <c r="C149" s="16">
        <f t="shared" si="23"/>
        <v>-1</v>
      </c>
      <c r="D149" s="2">
        <f t="shared" si="24"/>
        <v>-0.04213632685242242</v>
      </c>
      <c r="E149" s="2">
        <f aca="true" t="shared" si="41" ref="E149:T149">E45/SUM(E$31:E$46,E$50)</f>
        <v>0.024810414335695384</v>
      </c>
      <c r="F149" s="2">
        <f t="shared" si="41"/>
        <v>0.0009453635478937856</v>
      </c>
      <c r="G149" s="2">
        <f t="shared" si="41"/>
        <v>0.0008571823586340384</v>
      </c>
      <c r="H149" s="2">
        <f t="shared" si="41"/>
        <v>0.00947763907405163</v>
      </c>
      <c r="I149" s="2">
        <f t="shared" si="41"/>
        <v>0.006377551020408163</v>
      </c>
      <c r="J149" s="2">
        <f t="shared" si="41"/>
        <v>0.012186285488439497</v>
      </c>
      <c r="K149" s="2">
        <f t="shared" si="41"/>
        <v>0.0252260423457385</v>
      </c>
      <c r="L149" s="2">
        <f t="shared" si="41"/>
        <v>0.04225096512356881</v>
      </c>
      <c r="M149" s="2">
        <f t="shared" si="41"/>
        <v>0.04271107008449904</v>
      </c>
      <c r="N149" s="2">
        <f t="shared" si="41"/>
        <v>0.007318344243693368</v>
      </c>
      <c r="O149" s="2">
        <f t="shared" si="41"/>
        <v>0</v>
      </c>
      <c r="P149" s="2">
        <f t="shared" si="41"/>
        <v>0</v>
      </c>
      <c r="Q149" s="2">
        <f t="shared" si="41"/>
        <v>0</v>
      </c>
      <c r="R149" s="2">
        <f t="shared" si="41"/>
        <v>0</v>
      </c>
      <c r="S149" s="2">
        <f t="shared" si="41"/>
        <v>0</v>
      </c>
      <c r="T149" s="2">
        <f t="shared" si="41"/>
        <v>0</v>
      </c>
      <c r="V149" s="2">
        <f t="shared" si="26"/>
        <v>-0.024810414335695384</v>
      </c>
      <c r="W149" t="s">
        <v>37</v>
      </c>
    </row>
    <row r="150" spans="1:23" ht="12.75">
      <c r="A150" t="s">
        <v>38</v>
      </c>
      <c r="B150" s="14">
        <f t="shared" si="27"/>
        <v>0</v>
      </c>
      <c r="C150" s="16">
        <f t="shared" si="23"/>
      </c>
      <c r="D150" s="2">
        <f t="shared" si="24"/>
        <v>0</v>
      </c>
      <c r="E150" s="2">
        <f aca="true" t="shared" si="42" ref="E150:T150">E46/SUM(E$31:E$46,E$50)</f>
        <v>0</v>
      </c>
      <c r="F150" s="2">
        <f t="shared" si="42"/>
        <v>0</v>
      </c>
      <c r="G150" s="2">
        <f t="shared" si="42"/>
        <v>0</v>
      </c>
      <c r="H150" s="2">
        <f t="shared" si="42"/>
        <v>0</v>
      </c>
      <c r="I150" s="2">
        <f t="shared" si="42"/>
        <v>0</v>
      </c>
      <c r="J150" s="2">
        <f t="shared" si="42"/>
        <v>0</v>
      </c>
      <c r="K150" s="2">
        <f t="shared" si="42"/>
        <v>0</v>
      </c>
      <c r="L150" s="2">
        <f t="shared" si="42"/>
        <v>0</v>
      </c>
      <c r="M150" s="2">
        <f t="shared" si="42"/>
        <v>0</v>
      </c>
      <c r="N150" s="2">
        <f t="shared" si="42"/>
        <v>0</v>
      </c>
      <c r="O150" s="2">
        <f t="shared" si="42"/>
        <v>0</v>
      </c>
      <c r="P150" s="2">
        <f t="shared" si="42"/>
        <v>0</v>
      </c>
      <c r="Q150" s="2">
        <f t="shared" si="42"/>
        <v>0</v>
      </c>
      <c r="R150" s="2">
        <f t="shared" si="42"/>
        <v>0</v>
      </c>
      <c r="S150" s="2">
        <f t="shared" si="42"/>
        <v>0</v>
      </c>
      <c r="T150" s="2">
        <f t="shared" si="42"/>
        <v>0</v>
      </c>
      <c r="V150" s="2">
        <f t="shared" si="26"/>
        <v>0</v>
      </c>
      <c r="W150" t="s">
        <v>38</v>
      </c>
    </row>
    <row r="151" spans="1:22" ht="12.75">
      <c r="A151" t="s">
        <v>42</v>
      </c>
      <c r="B151" s="14">
        <f>(S50-E50)</f>
        <v>1737978</v>
      </c>
      <c r="C151" s="16">
        <f>IF(E50=0,"",B151/E50)</f>
        <v>0.6427908868999186</v>
      </c>
      <c r="D151" s="2">
        <f t="shared" si="24"/>
        <v>0.5242090842542548</v>
      </c>
      <c r="E151" s="2">
        <f aca="true" t="shared" si="43" ref="E151:T151">E50/SUM(E$31:E$46,E$50)</f>
        <v>0.48018896407196265</v>
      </c>
      <c r="F151" s="2">
        <f t="shared" si="43"/>
        <v>0.1081051021826776</v>
      </c>
      <c r="G151" s="2">
        <f t="shared" si="43"/>
        <v>0.14461495921471035</v>
      </c>
      <c r="H151" s="2">
        <f t="shared" si="43"/>
        <v>0.14221306508302023</v>
      </c>
      <c r="I151" s="2">
        <f t="shared" si="43"/>
        <v>0.32908163265306123</v>
      </c>
      <c r="J151" s="2">
        <f t="shared" si="43"/>
        <v>0.16452583272950838</v>
      </c>
      <c r="K151" s="2">
        <f t="shared" si="43"/>
        <v>0.21844618916697373</v>
      </c>
      <c r="L151" s="2">
        <f t="shared" si="43"/>
        <v>0.39192265813178473</v>
      </c>
      <c r="M151" s="2">
        <f t="shared" si="43"/>
        <v>0.20449004710170654</v>
      </c>
      <c r="N151" s="2">
        <f t="shared" si="43"/>
        <v>0.15129744844946036</v>
      </c>
      <c r="O151" s="2">
        <f t="shared" si="43"/>
        <v>0.1390474160455458</v>
      </c>
      <c r="P151" s="2">
        <f t="shared" si="43"/>
        <v>0.2054314277912626</v>
      </c>
      <c r="Q151" s="2">
        <f t="shared" si="43"/>
        <v>0.19625701571637907</v>
      </c>
      <c r="R151" s="2">
        <f t="shared" si="43"/>
        <v>0.2258442675366362</v>
      </c>
      <c r="S151" s="2">
        <f t="shared" si="43"/>
        <v>0.49804455602356246</v>
      </c>
      <c r="T151" s="2">
        <f t="shared" si="43"/>
        <v>0.49804455602356246</v>
      </c>
      <c r="V151" s="2">
        <f t="shared" si="26"/>
        <v>0.017855591951599803</v>
      </c>
    </row>
    <row r="152" spans="1:23" ht="12.75">
      <c r="A152" t="s">
        <v>100</v>
      </c>
      <c r="B152" s="15">
        <f>SUM(B135:B151)</f>
        <v>3315429</v>
      </c>
      <c r="C152" s="16">
        <f>B152/SUM(E31:E46,E50)</f>
        <v>0.5888129362246257</v>
      </c>
      <c r="D152" s="2">
        <f t="shared" si="24"/>
        <v>1</v>
      </c>
      <c r="E152" s="2">
        <f aca="true" t="shared" si="44" ref="E152:T152">E51/SUM(E$31:E$46,E$50)</f>
        <v>1</v>
      </c>
      <c r="F152" s="2">
        <f t="shared" si="44"/>
        <v>1.0002224384818574</v>
      </c>
      <c r="G152" s="2">
        <f t="shared" si="44"/>
        <v>1.0002212083506152</v>
      </c>
      <c r="H152" s="2">
        <f t="shared" si="44"/>
        <v>1.0001696764028603</v>
      </c>
      <c r="I152" s="2">
        <f t="shared" si="44"/>
        <v>1.0001275510204082</v>
      </c>
      <c r="J152" s="2">
        <f t="shared" si="44"/>
        <v>1.0001537008980523</v>
      </c>
      <c r="K152" s="2">
        <f t="shared" si="44"/>
        <v>1.000170063206825</v>
      </c>
      <c r="L152" s="2">
        <f t="shared" si="44"/>
        <v>1.000115484871482</v>
      </c>
      <c r="M152" s="2">
        <f t="shared" si="44"/>
        <v>1.0000591729981774</v>
      </c>
      <c r="N152" s="2">
        <f t="shared" si="44"/>
        <v>1</v>
      </c>
      <c r="O152" s="2">
        <f t="shared" si="44"/>
        <v>1</v>
      </c>
      <c r="P152" s="2">
        <f t="shared" si="44"/>
        <v>1</v>
      </c>
      <c r="Q152" s="2">
        <f t="shared" si="44"/>
        <v>1</v>
      </c>
      <c r="R152" s="2">
        <f t="shared" si="44"/>
        <v>1</v>
      </c>
      <c r="S152" s="2">
        <f t="shared" si="44"/>
        <v>1</v>
      </c>
      <c r="T152" s="2">
        <f t="shared" si="44"/>
        <v>1</v>
      </c>
      <c r="V152" s="2">
        <f t="shared" si="26"/>
        <v>0</v>
      </c>
      <c r="W152" t="s">
        <v>100</v>
      </c>
    </row>
    <row r="154" spans="1:20" ht="12.75">
      <c r="A154" t="str">
        <f>"TAX BASE CHANGES IN "&amp;$A$4</f>
        <v>TAX BASE CHANGES IN CITY OF MAYVILLE (DODGE)</v>
      </c>
      <c r="B154" t="s">
        <v>103</v>
      </c>
      <c r="C154" t="s">
        <v>104</v>
      </c>
      <c r="D154" t="s">
        <v>118</v>
      </c>
      <c r="E154" t="s">
        <v>106</v>
      </c>
      <c r="F154" t="s">
        <v>108</v>
      </c>
      <c r="G154" t="s">
        <v>109</v>
      </c>
      <c r="H154" t="s">
        <v>110</v>
      </c>
      <c r="I154" t="s">
        <v>111</v>
      </c>
      <c r="J154" t="s">
        <v>112</v>
      </c>
      <c r="K154" t="s">
        <v>113</v>
      </c>
      <c r="L154" t="s">
        <v>114</v>
      </c>
      <c r="M154" t="s">
        <v>115</v>
      </c>
      <c r="N154" t="s">
        <v>116</v>
      </c>
      <c r="O154" t="s">
        <v>117</v>
      </c>
      <c r="P154" t="s">
        <v>107</v>
      </c>
      <c r="Q154" t="s">
        <v>125</v>
      </c>
      <c r="R154" t="s">
        <v>145</v>
      </c>
      <c r="S154" t="s">
        <v>178</v>
      </c>
      <c r="T154" t="s">
        <v>183</v>
      </c>
    </row>
    <row r="155" spans="1:23" ht="12.75">
      <c r="A155" t="s">
        <v>49</v>
      </c>
      <c r="B155" s="14">
        <f aca="true" t="shared" si="45" ref="B155:B163">T57-E57</f>
        <v>27320900</v>
      </c>
      <c r="C155" s="2">
        <f aca="true" t="shared" si="46" ref="C155:C163">IF(E57=0,"",B155/E57)</f>
        <v>2.2610462373689306</v>
      </c>
      <c r="D155" s="2">
        <f aca="true" t="shared" si="47" ref="D155:D163">B155/$B$169</f>
        <v>0.1426499328282968</v>
      </c>
      <c r="E155" s="2">
        <f aca="true" t="shared" si="48" ref="E155:T155">E57/SUM(E$57:E$77)</f>
        <v>0.1067751917982288</v>
      </c>
      <c r="F155" s="2">
        <f t="shared" si="48"/>
        <v>0.1070551482008991</v>
      </c>
      <c r="G155" s="2">
        <f t="shared" si="48"/>
        <v>0.11034136851147877</v>
      </c>
      <c r="H155" s="2">
        <f t="shared" si="48"/>
        <v>0.11027683132422758</v>
      </c>
      <c r="I155" s="2">
        <f t="shared" si="48"/>
        <v>0.11283777677062945</v>
      </c>
      <c r="J155" s="2">
        <f t="shared" si="48"/>
        <v>0.11605329453001136</v>
      </c>
      <c r="K155" s="2">
        <f t="shared" si="48"/>
        <v>0.11860603570168995</v>
      </c>
      <c r="L155" s="2">
        <f t="shared" si="48"/>
        <v>0.11990136961154432</v>
      </c>
      <c r="M155" s="2">
        <f t="shared" si="48"/>
        <v>0.11820211204769267</v>
      </c>
      <c r="N155" s="2">
        <f t="shared" si="48"/>
        <v>0.11791358972582087</v>
      </c>
      <c r="O155" s="2">
        <f t="shared" si="48"/>
        <v>0.11129283846902722</v>
      </c>
      <c r="P155" s="2">
        <f t="shared" si="48"/>
        <v>0.11332865255327153</v>
      </c>
      <c r="Q155" s="2">
        <f t="shared" si="48"/>
        <v>0.11129863309281665</v>
      </c>
      <c r="R155" s="2">
        <f t="shared" si="48"/>
        <v>0.11435830009798872</v>
      </c>
      <c r="S155" s="2">
        <f t="shared" si="48"/>
        <v>0.11544842750302835</v>
      </c>
      <c r="T155" s="2">
        <f t="shared" si="48"/>
        <v>0.12932558644050887</v>
      </c>
      <c r="V155" s="2">
        <f aca="true" t="shared" si="49" ref="V155:V163">T155-E155</f>
        <v>0.022550394642280078</v>
      </c>
      <c r="W155" t="s">
        <v>49</v>
      </c>
    </row>
    <row r="156" spans="1:23" ht="12.75">
      <c r="A156" t="s">
        <v>50</v>
      </c>
      <c r="B156" s="14">
        <f t="shared" si="45"/>
        <v>116680100</v>
      </c>
      <c r="C156" s="2">
        <f t="shared" si="46"/>
        <v>2.180981291204118</v>
      </c>
      <c r="D156" s="2">
        <f t="shared" si="47"/>
        <v>0.6092188920349971</v>
      </c>
      <c r="E156" s="2">
        <f aca="true" t="shared" si="50" ref="E156:T156">E58/SUM(E$57:E$77)</f>
        <v>0.4727479503524917</v>
      </c>
      <c r="F156" s="2">
        <f t="shared" si="50"/>
        <v>0.4783423805420957</v>
      </c>
      <c r="G156" s="2">
        <f t="shared" si="50"/>
        <v>0.49515062162231627</v>
      </c>
      <c r="H156" s="2">
        <f t="shared" si="50"/>
        <v>0.5008038113481209</v>
      </c>
      <c r="I156" s="2">
        <f t="shared" si="50"/>
        <v>0.5188137727754611</v>
      </c>
      <c r="J156" s="2">
        <f t="shared" si="50"/>
        <v>0.525226504122458</v>
      </c>
      <c r="K156" s="2">
        <f t="shared" si="50"/>
        <v>0.5396982041301448</v>
      </c>
      <c r="L156" s="2">
        <f t="shared" si="50"/>
        <v>0.5381082839150457</v>
      </c>
      <c r="M156" s="2">
        <f t="shared" si="50"/>
        <v>0.5407764719175725</v>
      </c>
      <c r="N156" s="2">
        <f t="shared" si="50"/>
        <v>0.5483192342094478</v>
      </c>
      <c r="O156" s="2">
        <f t="shared" si="50"/>
        <v>0.5475916384996554</v>
      </c>
      <c r="P156" s="2">
        <f t="shared" si="50"/>
        <v>0.5498625418294606</v>
      </c>
      <c r="Q156" s="2">
        <f t="shared" si="50"/>
        <v>0.5538261139153403</v>
      </c>
      <c r="R156" s="2">
        <f t="shared" si="50"/>
        <v>0.5530485112880115</v>
      </c>
      <c r="S156" s="2">
        <f t="shared" si="50"/>
        <v>0.5640424639482793</v>
      </c>
      <c r="T156" s="2">
        <f t="shared" si="50"/>
        <v>0.5585318056161362</v>
      </c>
      <c r="V156" s="2">
        <f t="shared" si="49"/>
        <v>0.08578385526364457</v>
      </c>
      <c r="W156" t="s">
        <v>50</v>
      </c>
    </row>
    <row r="157" spans="1:23" ht="12.75">
      <c r="A157" t="s">
        <v>51</v>
      </c>
      <c r="B157" s="14">
        <f t="shared" si="45"/>
        <v>3595500</v>
      </c>
      <c r="C157" s="2">
        <f t="shared" si="46"/>
        <v>1.4363040786162267</v>
      </c>
      <c r="D157" s="2">
        <f t="shared" si="47"/>
        <v>0.018773094352094594</v>
      </c>
      <c r="E157" s="2">
        <f aca="true" t="shared" si="51" ref="E157:T157">E59/SUM(E$57:E$77)</f>
        <v>0.022120640688264477</v>
      </c>
      <c r="F157" s="2">
        <f t="shared" si="51"/>
        <v>0.022238298706094242</v>
      </c>
      <c r="G157" s="2">
        <f t="shared" si="51"/>
        <v>0.02053070961440958</v>
      </c>
      <c r="H157" s="2">
        <f t="shared" si="51"/>
        <v>0.019404491345715674</v>
      </c>
      <c r="I157" s="2">
        <f t="shared" si="51"/>
        <v>0.017597608176637105</v>
      </c>
      <c r="J157" s="2">
        <f t="shared" si="51"/>
        <v>0.01714096460065836</v>
      </c>
      <c r="K157" s="2">
        <f t="shared" si="51"/>
        <v>0.017078074123447043</v>
      </c>
      <c r="L157" s="2">
        <f t="shared" si="51"/>
        <v>0.016376874635847746</v>
      </c>
      <c r="M157" s="2">
        <f t="shared" si="51"/>
        <v>0.016619406988704837</v>
      </c>
      <c r="N157" s="2">
        <f t="shared" si="51"/>
        <v>0.016799167682816293</v>
      </c>
      <c r="O157" s="2">
        <f t="shared" si="51"/>
        <v>0.0211461512377077</v>
      </c>
      <c r="P157" s="2">
        <f t="shared" si="51"/>
        <v>0.020040401795063948</v>
      </c>
      <c r="Q157" s="2">
        <f t="shared" si="51"/>
        <v>0.01929444809807621</v>
      </c>
      <c r="R157" s="2">
        <f t="shared" si="51"/>
        <v>0.021715326231162048</v>
      </c>
      <c r="S157" s="2">
        <f t="shared" si="51"/>
        <v>0.01967547405015489</v>
      </c>
      <c r="T157" s="2">
        <f t="shared" si="51"/>
        <v>0.020016416691199808</v>
      </c>
      <c r="V157" s="2">
        <f t="shared" si="49"/>
        <v>-0.0021042239970646692</v>
      </c>
      <c r="W157" t="s">
        <v>51</v>
      </c>
    </row>
    <row r="158" spans="1:23" ht="12.75">
      <c r="A158" t="s">
        <v>52</v>
      </c>
      <c r="B158" s="14">
        <f t="shared" si="45"/>
        <v>35162200</v>
      </c>
      <c r="C158" s="2">
        <f t="shared" si="46"/>
        <v>2.651389705771464</v>
      </c>
      <c r="D158" s="2">
        <f t="shared" si="47"/>
        <v>0.1835915166811905</v>
      </c>
      <c r="E158" s="2">
        <f aca="true" t="shared" si="52" ref="E158:T158">E60/SUM(E$57:E$77)</f>
        <v>0.11718911543947023</v>
      </c>
      <c r="F158" s="2">
        <f t="shared" si="52"/>
        <v>0.11862435537067599</v>
      </c>
      <c r="G158" s="2">
        <f t="shared" si="52"/>
        <v>0.11228143139412716</v>
      </c>
      <c r="H158" s="2">
        <f t="shared" si="52"/>
        <v>0.11324140639093414</v>
      </c>
      <c r="I158" s="2">
        <f t="shared" si="52"/>
        <v>0.10637333581382094</v>
      </c>
      <c r="J158" s="2">
        <f t="shared" si="52"/>
        <v>0.1063076332422498</v>
      </c>
      <c r="K158" s="2">
        <f t="shared" si="52"/>
        <v>0.10968061321227848</v>
      </c>
      <c r="L158" s="2">
        <f t="shared" si="52"/>
        <v>0.12288741809068489</v>
      </c>
      <c r="M158" s="2">
        <f t="shared" si="52"/>
        <v>0.12749467365608744</v>
      </c>
      <c r="N158" s="2">
        <f t="shared" si="52"/>
        <v>0.13318589411453172</v>
      </c>
      <c r="O158" s="2">
        <f t="shared" si="52"/>
        <v>0.14057471641562477</v>
      </c>
      <c r="P158" s="2">
        <f t="shared" si="52"/>
        <v>0.1441483959342739</v>
      </c>
      <c r="Q158" s="2">
        <f t="shared" si="52"/>
        <v>0.14832606975396087</v>
      </c>
      <c r="R158" s="2">
        <f t="shared" si="52"/>
        <v>0.152744334086969</v>
      </c>
      <c r="S158" s="2">
        <f t="shared" si="52"/>
        <v>0.15317964809623283</v>
      </c>
      <c r="T158" s="2">
        <f t="shared" si="52"/>
        <v>0.1589287994121236</v>
      </c>
      <c r="V158" s="2">
        <f t="shared" si="49"/>
        <v>0.04173968397265336</v>
      </c>
      <c r="W158" t="s">
        <v>52</v>
      </c>
    </row>
    <row r="159" spans="1:23" ht="12.75">
      <c r="A159" t="s">
        <v>53</v>
      </c>
      <c r="B159" s="14">
        <f t="shared" si="45"/>
        <v>717400</v>
      </c>
      <c r="C159" s="2">
        <f t="shared" si="46"/>
        <v>0.5921096071310663</v>
      </c>
      <c r="D159" s="2">
        <f t="shared" si="47"/>
        <v>0.003745742702876557</v>
      </c>
      <c r="E159" s="2">
        <f aca="true" t="shared" si="53" ref="E159:T159">E61/SUM(E$57:E$77)</f>
        <v>0.010706414835577533</v>
      </c>
      <c r="F159" s="2">
        <f t="shared" si="53"/>
        <v>0.010090505580298269</v>
      </c>
      <c r="G159" s="2">
        <f t="shared" si="53"/>
        <v>0.009393455811972002</v>
      </c>
      <c r="H159" s="2">
        <f t="shared" si="53"/>
        <v>0.008398904874958252</v>
      </c>
      <c r="I159" s="2">
        <f t="shared" si="53"/>
        <v>0.007895339256157183</v>
      </c>
      <c r="J159" s="2">
        <f t="shared" si="53"/>
        <v>0.007212227786243622</v>
      </c>
      <c r="K159" s="2">
        <f t="shared" si="53"/>
        <v>0.006645937209806478</v>
      </c>
      <c r="L159" s="2">
        <f t="shared" si="53"/>
        <v>0.006184602245971379</v>
      </c>
      <c r="M159" s="2">
        <f t="shared" si="53"/>
        <v>0.007142880488655576</v>
      </c>
      <c r="N159" s="2">
        <f t="shared" si="53"/>
        <v>0.007599437717791422</v>
      </c>
      <c r="O159" s="2">
        <f t="shared" si="53"/>
        <v>0.008220610595171682</v>
      </c>
      <c r="P159" s="2">
        <f t="shared" si="53"/>
        <v>0.008023542692488094</v>
      </c>
      <c r="Q159" s="2">
        <f t="shared" si="53"/>
        <v>0.007541810222615201</v>
      </c>
      <c r="R159" s="2">
        <f t="shared" si="53"/>
        <v>0.007162942364881198</v>
      </c>
      <c r="S159" s="2">
        <f t="shared" si="53"/>
        <v>0.0068233785276925725</v>
      </c>
      <c r="T159" s="2">
        <f t="shared" si="53"/>
        <v>0.006331027054063821</v>
      </c>
      <c r="V159" s="2">
        <f t="shared" si="49"/>
        <v>-0.004375387781513713</v>
      </c>
      <c r="W159" t="s">
        <v>53</v>
      </c>
    </row>
    <row r="160" spans="1:23" ht="12.75">
      <c r="A160" t="s">
        <v>54</v>
      </c>
      <c r="B160" s="14">
        <f t="shared" si="45"/>
        <v>7813000</v>
      </c>
      <c r="C160" s="2">
        <f t="shared" si="46"/>
        <v>0.34012894687580264</v>
      </c>
      <c r="D160" s="2">
        <f t="shared" si="47"/>
        <v>0.040793821769688515</v>
      </c>
      <c r="E160" s="2">
        <f aca="true" t="shared" si="54" ref="E160:T160">E62/SUM(E$57:E$77)</f>
        <v>0.20298270325487028</v>
      </c>
      <c r="F160" s="2">
        <f t="shared" si="54"/>
        <v>0.1987781872257264</v>
      </c>
      <c r="G160" s="2">
        <f t="shared" si="54"/>
        <v>0.1936301138881555</v>
      </c>
      <c r="H160" s="2">
        <f t="shared" si="54"/>
        <v>0.1920301326017044</v>
      </c>
      <c r="I160" s="2">
        <f t="shared" si="54"/>
        <v>0.18139093342199758</v>
      </c>
      <c r="J160" s="2">
        <f t="shared" si="54"/>
        <v>0.17200804821344354</v>
      </c>
      <c r="K160" s="2">
        <f t="shared" si="54"/>
        <v>0.1562383046281047</v>
      </c>
      <c r="L160" s="2">
        <f t="shared" si="54"/>
        <v>0.14565042580871732</v>
      </c>
      <c r="M160" s="2">
        <f t="shared" si="54"/>
        <v>0.1380530444555363</v>
      </c>
      <c r="N160" s="2">
        <f t="shared" si="54"/>
        <v>0.13800421023259998</v>
      </c>
      <c r="O160" s="2">
        <f t="shared" si="54"/>
        <v>0.13280740327503035</v>
      </c>
      <c r="P160" s="2">
        <f t="shared" si="54"/>
        <v>0.1300525571698671</v>
      </c>
      <c r="Q160" s="2">
        <f t="shared" si="54"/>
        <v>0.12492698898400918</v>
      </c>
      <c r="R160" s="2">
        <f t="shared" si="54"/>
        <v>0.11935204909313088</v>
      </c>
      <c r="S160" s="2">
        <f t="shared" si="54"/>
        <v>0.1101698018943349</v>
      </c>
      <c r="T160" s="2">
        <f t="shared" si="54"/>
        <v>0.10103288622300903</v>
      </c>
      <c r="V160" s="2">
        <f t="shared" si="49"/>
        <v>-0.10194981703186125</v>
      </c>
      <c r="W160" t="s">
        <v>54</v>
      </c>
    </row>
    <row r="161" spans="1:23" ht="12.75">
      <c r="A161" t="s">
        <v>55</v>
      </c>
      <c r="B161" s="14">
        <f t="shared" si="45"/>
        <v>-67500</v>
      </c>
      <c r="C161" s="2">
        <f t="shared" si="46"/>
        <v>-0.8171912832929782</v>
      </c>
      <c r="D161" s="2">
        <f t="shared" si="47"/>
        <v>-0.0003524360641820011</v>
      </c>
      <c r="E161" s="2">
        <f aca="true" t="shared" si="55" ref="E161:T161">E63/SUM(E$57:E$77)</f>
        <v>0.00072990249704416</v>
      </c>
      <c r="F161" s="2">
        <f t="shared" si="55"/>
        <v>0.0007904271237077061</v>
      </c>
      <c r="G161" s="2">
        <f t="shared" si="55"/>
        <v>0.0008014149764131657</v>
      </c>
      <c r="H161" s="2">
        <f t="shared" si="55"/>
        <v>0.0007925818971106984</v>
      </c>
      <c r="I161" s="2">
        <f t="shared" si="55"/>
        <v>0.0007824091208056835</v>
      </c>
      <c r="J161" s="2">
        <f t="shared" si="55"/>
        <v>0.0007773303914853883</v>
      </c>
      <c r="K161" s="2">
        <f t="shared" si="55"/>
        <v>0.0008973417329696511</v>
      </c>
      <c r="L161" s="2">
        <f t="shared" si="55"/>
        <v>0.0005936180571629248</v>
      </c>
      <c r="M161" s="2">
        <f t="shared" si="55"/>
        <v>0.0005038023301908333</v>
      </c>
      <c r="N161" s="2">
        <f t="shared" si="55"/>
        <v>0.00048187750490252996</v>
      </c>
      <c r="O161" s="2">
        <f t="shared" si="55"/>
        <v>0.00022008554020499021</v>
      </c>
      <c r="P161" s="2">
        <f t="shared" si="55"/>
        <v>0.0001799874672321204</v>
      </c>
      <c r="Q161" s="2">
        <f t="shared" si="55"/>
        <v>9.360890915162545E-05</v>
      </c>
      <c r="R161" s="2">
        <f t="shared" si="55"/>
        <v>4.975554802208701E-05</v>
      </c>
      <c r="S161" s="2">
        <f t="shared" si="55"/>
        <v>5.2516762175769455E-05</v>
      </c>
      <c r="T161" s="2">
        <f t="shared" si="55"/>
        <v>4.955858398982047E-05</v>
      </c>
      <c r="V161" s="2">
        <f t="shared" si="49"/>
        <v>-0.0006803439130543395</v>
      </c>
      <c r="W161" t="s">
        <v>55</v>
      </c>
    </row>
    <row r="162" spans="1:23" ht="12.75">
      <c r="A162" t="s">
        <v>56</v>
      </c>
      <c r="B162" s="14">
        <f t="shared" si="45"/>
        <v>0</v>
      </c>
      <c r="C162" s="2">
        <f t="shared" si="46"/>
      </c>
      <c r="D162" s="2">
        <f t="shared" si="47"/>
        <v>0</v>
      </c>
      <c r="E162" s="2">
        <f aca="true" t="shared" si="56" ref="E162:T162">E64/SUM(E$57:E$77)</f>
        <v>0</v>
      </c>
      <c r="F162" s="2">
        <f t="shared" si="56"/>
        <v>0</v>
      </c>
      <c r="G162" s="2">
        <f t="shared" si="56"/>
        <v>0</v>
      </c>
      <c r="H162" s="2">
        <f t="shared" si="56"/>
        <v>0</v>
      </c>
      <c r="I162" s="2">
        <f t="shared" si="56"/>
        <v>0</v>
      </c>
      <c r="J162" s="2">
        <f t="shared" si="56"/>
        <v>0</v>
      </c>
      <c r="K162" s="2">
        <f t="shared" si="56"/>
        <v>0</v>
      </c>
      <c r="L162" s="2">
        <f t="shared" si="56"/>
        <v>0</v>
      </c>
      <c r="M162" s="2">
        <f t="shared" si="56"/>
        <v>0</v>
      </c>
      <c r="N162" s="2">
        <f t="shared" si="56"/>
        <v>0</v>
      </c>
      <c r="O162" s="2">
        <f t="shared" si="56"/>
        <v>0</v>
      </c>
      <c r="P162" s="2">
        <f t="shared" si="56"/>
        <v>0</v>
      </c>
      <c r="Q162" s="2">
        <f t="shared" si="56"/>
        <v>0</v>
      </c>
      <c r="R162" s="2">
        <f t="shared" si="56"/>
        <v>0</v>
      </c>
      <c r="S162" s="2">
        <f t="shared" si="56"/>
        <v>0</v>
      </c>
      <c r="T162" s="2">
        <f t="shared" si="56"/>
        <v>0</v>
      </c>
      <c r="V162" s="2">
        <f t="shared" si="49"/>
        <v>0</v>
      </c>
      <c r="W162" t="s">
        <v>56</v>
      </c>
    </row>
    <row r="163" spans="1:23" ht="12.75">
      <c r="A163" t="s">
        <v>89</v>
      </c>
      <c r="B163" s="14">
        <f t="shared" si="45"/>
        <v>3600</v>
      </c>
      <c r="C163" s="2">
        <f t="shared" si="46"/>
      </c>
      <c r="D163" s="2">
        <f t="shared" si="47"/>
        <v>1.8796590089706727E-05</v>
      </c>
      <c r="E163" s="2">
        <f aca="true" t="shared" si="57" ref="E163:T163">E65/SUM(E$57:E$77)</f>
        <v>0</v>
      </c>
      <c r="F163" s="2">
        <f t="shared" si="57"/>
        <v>0</v>
      </c>
      <c r="G163" s="2">
        <f t="shared" si="57"/>
        <v>0</v>
      </c>
      <c r="H163" s="2">
        <f t="shared" si="57"/>
        <v>0</v>
      </c>
      <c r="I163" s="2">
        <f t="shared" si="57"/>
        <v>0</v>
      </c>
      <c r="J163" s="2">
        <f t="shared" si="57"/>
        <v>0</v>
      </c>
      <c r="K163" s="2">
        <f t="shared" si="57"/>
        <v>0</v>
      </c>
      <c r="L163" s="2">
        <f t="shared" si="57"/>
        <v>0</v>
      </c>
      <c r="M163" s="2">
        <f t="shared" si="57"/>
        <v>0</v>
      </c>
      <c r="N163" s="2">
        <f t="shared" si="57"/>
        <v>0</v>
      </c>
      <c r="O163" s="2">
        <f t="shared" si="57"/>
        <v>5.513077150264168E-05</v>
      </c>
      <c r="P163" s="2">
        <f t="shared" si="57"/>
        <v>5.681632030138362E-05</v>
      </c>
      <c r="Q163" s="2">
        <f t="shared" si="57"/>
        <v>5.663732318417674E-05</v>
      </c>
      <c r="R163" s="2">
        <f t="shared" si="57"/>
        <v>6.53505705364725E-05</v>
      </c>
      <c r="S163" s="2">
        <f t="shared" si="57"/>
        <v>1.5893230658456546E-05</v>
      </c>
      <c r="T163" s="2">
        <f t="shared" si="57"/>
        <v>1.1815291547241967E-05</v>
      </c>
      <c r="V163" s="2">
        <f t="shared" si="49"/>
        <v>1.1815291547241967E-05</v>
      </c>
      <c r="W163" t="s">
        <v>89</v>
      </c>
    </row>
    <row r="164" spans="1:22" ht="12.75">
      <c r="A164" t="s">
        <v>143</v>
      </c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V164" s="2"/>
    </row>
    <row r="165" spans="1:23" ht="12.75">
      <c r="A165" t="s">
        <v>90</v>
      </c>
      <c r="B165" s="14">
        <f>T67-E67</f>
        <v>0</v>
      </c>
      <c r="C165" s="2">
        <f>IF(E67=0,"",B165/E67)</f>
      </c>
      <c r="D165" s="2">
        <f>B165/$B$169</f>
        <v>0</v>
      </c>
      <c r="E165" s="2">
        <f aca="true" t="shared" si="58" ref="E165:T165">E66/SUM(E$57:E$77)</f>
        <v>0</v>
      </c>
      <c r="F165" s="2">
        <f t="shared" si="58"/>
        <v>0</v>
      </c>
      <c r="G165" s="2">
        <f t="shared" si="58"/>
        <v>0</v>
      </c>
      <c r="H165" s="2">
        <f t="shared" si="58"/>
        <v>0</v>
      </c>
      <c r="I165" s="2">
        <f t="shared" si="58"/>
        <v>0</v>
      </c>
      <c r="J165" s="2">
        <f t="shared" si="58"/>
        <v>0</v>
      </c>
      <c r="K165" s="2">
        <f t="shared" si="58"/>
        <v>0</v>
      </c>
      <c r="L165" s="2">
        <f t="shared" si="58"/>
        <v>0</v>
      </c>
      <c r="M165" s="2">
        <f t="shared" si="58"/>
        <v>0</v>
      </c>
      <c r="N165" s="2">
        <f t="shared" si="58"/>
        <v>0</v>
      </c>
      <c r="O165" s="2">
        <f t="shared" si="58"/>
        <v>0</v>
      </c>
      <c r="P165" s="2">
        <f t="shared" si="58"/>
        <v>0</v>
      </c>
      <c r="Q165" s="2">
        <f t="shared" si="58"/>
        <v>0</v>
      </c>
      <c r="R165" s="2">
        <f t="shared" si="58"/>
        <v>0</v>
      </c>
      <c r="S165" s="2">
        <f t="shared" si="58"/>
        <v>0</v>
      </c>
      <c r="T165" s="2">
        <f t="shared" si="58"/>
        <v>0</v>
      </c>
      <c r="V165" s="2">
        <f>T165-E165</f>
        <v>0</v>
      </c>
      <c r="W165" t="s">
        <v>90</v>
      </c>
    </row>
    <row r="166" spans="1:23" ht="12.75">
      <c r="A166" t="s">
        <v>57</v>
      </c>
      <c r="B166" s="14">
        <f>T68-E68</f>
        <v>0</v>
      </c>
      <c r="C166" s="2">
        <f>IF(E68=0,"",B166/E68)</f>
      </c>
      <c r="D166" s="2">
        <f>B166/$B$169</f>
        <v>0</v>
      </c>
      <c r="E166" s="2">
        <f aca="true" t="shared" si="59" ref="E166:T166">E67/SUM(E$57:E$77)</f>
        <v>0</v>
      </c>
      <c r="F166" s="2">
        <f t="shared" si="59"/>
        <v>0</v>
      </c>
      <c r="G166" s="2">
        <f t="shared" si="59"/>
        <v>0</v>
      </c>
      <c r="H166" s="2">
        <f t="shared" si="59"/>
        <v>0</v>
      </c>
      <c r="I166" s="2">
        <f t="shared" si="59"/>
        <v>0</v>
      </c>
      <c r="J166" s="2">
        <f t="shared" si="59"/>
        <v>0</v>
      </c>
      <c r="K166" s="2">
        <f t="shared" si="59"/>
        <v>0</v>
      </c>
      <c r="L166" s="2">
        <f t="shared" si="59"/>
        <v>0</v>
      </c>
      <c r="M166" s="2">
        <f t="shared" si="59"/>
        <v>0</v>
      </c>
      <c r="N166" s="2">
        <f t="shared" si="59"/>
        <v>0</v>
      </c>
      <c r="O166" s="2">
        <f t="shared" si="59"/>
        <v>0</v>
      </c>
      <c r="P166" s="2">
        <f t="shared" si="59"/>
        <v>0</v>
      </c>
      <c r="Q166" s="2">
        <f t="shared" si="59"/>
        <v>0</v>
      </c>
      <c r="R166" s="2">
        <f t="shared" si="59"/>
        <v>0</v>
      </c>
      <c r="S166" s="2">
        <f t="shared" si="59"/>
        <v>0</v>
      </c>
      <c r="T166" s="2">
        <f t="shared" si="59"/>
        <v>0</v>
      </c>
      <c r="V166" s="2">
        <f>T166-E166</f>
        <v>0</v>
      </c>
      <c r="W166" t="s">
        <v>57</v>
      </c>
    </row>
    <row r="167" spans="1:23" ht="12.75">
      <c r="A167" t="s">
        <v>58</v>
      </c>
      <c r="B167" s="14">
        <f>T69-E69</f>
        <v>0</v>
      </c>
      <c r="C167" s="2">
        <f>IF(E69=0,"",B167/E69)</f>
      </c>
      <c r="D167" s="2">
        <f>B167/$B$169</f>
        <v>0</v>
      </c>
      <c r="E167" s="2">
        <f aca="true" t="shared" si="60" ref="E167:T167">E68/SUM(E$57:E$77)</f>
        <v>0</v>
      </c>
      <c r="F167" s="2">
        <f t="shared" si="60"/>
        <v>0</v>
      </c>
      <c r="G167" s="2">
        <f t="shared" si="60"/>
        <v>0</v>
      </c>
      <c r="H167" s="2">
        <f t="shared" si="60"/>
        <v>0</v>
      </c>
      <c r="I167" s="2">
        <f t="shared" si="60"/>
        <v>0</v>
      </c>
      <c r="J167" s="2">
        <f t="shared" si="60"/>
        <v>0</v>
      </c>
      <c r="K167" s="2">
        <f t="shared" si="60"/>
        <v>8.628285893938953E-06</v>
      </c>
      <c r="L167" s="2">
        <f t="shared" si="60"/>
        <v>2.9930322209895365E-05</v>
      </c>
      <c r="M167" s="2">
        <f t="shared" si="60"/>
        <v>4.202243717995828E-05</v>
      </c>
      <c r="N167" s="2">
        <f t="shared" si="60"/>
        <v>4.589309570500285E-05</v>
      </c>
      <c r="O167" s="2">
        <f t="shared" si="60"/>
        <v>4.813003861341734E-05</v>
      </c>
      <c r="P167" s="2">
        <f t="shared" si="60"/>
        <v>0</v>
      </c>
      <c r="Q167" s="2">
        <f t="shared" si="60"/>
        <v>0</v>
      </c>
      <c r="R167" s="2">
        <f t="shared" si="60"/>
        <v>0</v>
      </c>
      <c r="S167" s="2">
        <f t="shared" si="60"/>
        <v>0</v>
      </c>
      <c r="T167" s="2">
        <f t="shared" si="60"/>
        <v>0</v>
      </c>
      <c r="V167" s="2">
        <f>T167-E167</f>
        <v>0</v>
      </c>
      <c r="W167" t="s">
        <v>58</v>
      </c>
    </row>
    <row r="168" spans="1:23" ht="12.75">
      <c r="A168" t="s">
        <v>102</v>
      </c>
      <c r="B168" s="14">
        <f>SUM(T70:T77)-SUM(E70:E77)</f>
        <v>298900</v>
      </c>
      <c r="C168" s="2">
        <f>B168/SUM(E70:E77)</f>
        <v>0.039570535903410295</v>
      </c>
      <c r="D168" s="2">
        <f>B168/$B$169</f>
        <v>0.0015606391049481502</v>
      </c>
      <c r="E168" s="2">
        <f aca="true" t="shared" si="61" ref="E168:T168">SUM(E69:E76)/SUM(E$57:E$77)</f>
        <v>0.06527060295601675</v>
      </c>
      <c r="F168" s="2">
        <f t="shared" si="61"/>
        <v>0.06276192318287586</v>
      </c>
      <c r="G168" s="2">
        <f t="shared" si="61"/>
        <v>0.05619873845288747</v>
      </c>
      <c r="H168" s="2">
        <f t="shared" si="61"/>
        <v>0.053423207580386566</v>
      </c>
      <c r="I168" s="2">
        <f t="shared" si="61"/>
        <v>0.05322493074755695</v>
      </c>
      <c r="J168" s="2">
        <f t="shared" si="61"/>
        <v>0.05410740904878933</v>
      </c>
      <c r="K168" s="2">
        <f t="shared" si="61"/>
        <v>0.04995939312951165</v>
      </c>
      <c r="L168" s="2">
        <f t="shared" si="61"/>
        <v>0.04897448739334829</v>
      </c>
      <c r="M168" s="2">
        <f t="shared" si="61"/>
        <v>0.050062730160390305</v>
      </c>
      <c r="N168" s="2">
        <f t="shared" si="61"/>
        <v>0.03656073469339052</v>
      </c>
      <c r="O168" s="2">
        <f t="shared" si="61"/>
        <v>0.03702775134271869</v>
      </c>
      <c r="P168" s="2">
        <f t="shared" si="61"/>
        <v>0.03329146067294577</v>
      </c>
      <c r="Q168" s="2">
        <f t="shared" si="61"/>
        <v>0.033722019549756566</v>
      </c>
      <c r="R168" s="2">
        <f t="shared" si="61"/>
        <v>0.03064421924076747</v>
      </c>
      <c r="S168" s="2">
        <f t="shared" si="61"/>
        <v>0.029676116689481516</v>
      </c>
      <c r="T168" s="2">
        <f t="shared" si="61"/>
        <v>0.024923044708735013</v>
      </c>
      <c r="V168" s="2">
        <f>T168-E168</f>
        <v>-0.040347558247281735</v>
      </c>
      <c r="W168" t="s">
        <v>102</v>
      </c>
    </row>
    <row r="169" spans="1:23" ht="12.75">
      <c r="A169" t="s">
        <v>105</v>
      </c>
      <c r="B169" s="14">
        <f>SUM(B155:B168)</f>
        <v>191524100</v>
      </c>
      <c r="C169" s="2"/>
      <c r="D169" s="2">
        <f aca="true" t="shared" si="62" ref="D169:T169">SUM(D155:D168)</f>
        <v>0.9999999999999999</v>
      </c>
      <c r="E169" s="2">
        <f t="shared" si="62"/>
        <v>0.9985225218219639</v>
      </c>
      <c r="F169" s="2">
        <f t="shared" si="62"/>
        <v>0.9986812259323732</v>
      </c>
      <c r="G169" s="2">
        <f t="shared" si="62"/>
        <v>0.9983278542717601</v>
      </c>
      <c r="H169" s="2">
        <f t="shared" si="62"/>
        <v>0.9983713673631582</v>
      </c>
      <c r="I169" s="2">
        <f t="shared" si="62"/>
        <v>0.998916106083066</v>
      </c>
      <c r="J169" s="2">
        <f t="shared" si="62"/>
        <v>0.9988334119353394</v>
      </c>
      <c r="K169" s="2">
        <f t="shared" si="62"/>
        <v>0.9988125321538468</v>
      </c>
      <c r="L169" s="2">
        <f t="shared" si="62"/>
        <v>0.9987070100805325</v>
      </c>
      <c r="M169" s="2">
        <f t="shared" si="62"/>
        <v>0.9988971444820104</v>
      </c>
      <c r="N169" s="2">
        <f t="shared" si="62"/>
        <v>0.9989100389770063</v>
      </c>
      <c r="O169" s="2">
        <f t="shared" si="62"/>
        <v>0.998984456185257</v>
      </c>
      <c r="P169" s="2">
        <f t="shared" si="62"/>
        <v>0.9989843564349044</v>
      </c>
      <c r="Q169" s="2">
        <f t="shared" si="62"/>
        <v>0.999086329848911</v>
      </c>
      <c r="R169" s="2">
        <f t="shared" si="62"/>
        <v>0.9991407885214694</v>
      </c>
      <c r="S169" s="2">
        <f t="shared" si="62"/>
        <v>0.9990837207020385</v>
      </c>
      <c r="T169" s="2">
        <f t="shared" si="62"/>
        <v>0.9991509400213133</v>
      </c>
      <c r="V169" s="2">
        <f>T169-E169</f>
        <v>0.0006284181993494453</v>
      </c>
      <c r="W169" t="s">
        <v>105</v>
      </c>
    </row>
    <row r="170" spans="1:23" ht="12.75">
      <c r="A170" t="s">
        <v>67</v>
      </c>
      <c r="B170" s="14">
        <f>T78-E78</f>
        <v>190737170</v>
      </c>
      <c r="C170" s="2">
        <f>IF(E78=0,"",B170/E78)</f>
        <v>1.685466545546446</v>
      </c>
      <c r="D170" s="2"/>
      <c r="W170" t="s">
        <v>67</v>
      </c>
    </row>
    <row r="172" spans="4:27" ht="12.75">
      <c r="D172" s="25" t="s">
        <v>141</v>
      </c>
      <c r="E172">
        <v>1990</v>
      </c>
      <c r="F172">
        <v>1991</v>
      </c>
      <c r="G172">
        <v>1992</v>
      </c>
      <c r="H172">
        <v>1993</v>
      </c>
      <c r="I172">
        <v>1994</v>
      </c>
      <c r="J172">
        <v>1995</v>
      </c>
      <c r="K172">
        <v>1996</v>
      </c>
      <c r="L172">
        <v>1997</v>
      </c>
      <c r="M172">
        <v>1998</v>
      </c>
      <c r="N172">
        <v>1999</v>
      </c>
      <c r="O172">
        <v>2000</v>
      </c>
      <c r="P172">
        <v>2001</v>
      </c>
      <c r="Q172">
        <v>2002</v>
      </c>
      <c r="R172">
        <v>2003</v>
      </c>
      <c r="S172">
        <v>2004</v>
      </c>
      <c r="T172">
        <v>2005</v>
      </c>
      <c r="U172">
        <v>2006</v>
      </c>
      <c r="V172">
        <v>2007</v>
      </c>
      <c r="W172">
        <v>2008</v>
      </c>
      <c r="X172">
        <v>2009</v>
      </c>
      <c r="Y172">
        <v>2010</v>
      </c>
      <c r="Z172">
        <v>2011</v>
      </c>
      <c r="AA172">
        <v>2012</v>
      </c>
    </row>
    <row r="173" spans="1:20" ht="12.75">
      <c r="A173" t="s">
        <v>119</v>
      </c>
      <c r="B173" s="5">
        <f aca="true" t="shared" si="63" ref="B173:B181">(T173-E173)/E173</f>
        <v>2.195732988524325</v>
      </c>
      <c r="C173" s="18">
        <f aca="true" t="shared" si="64" ref="C173:C181">(T173-E173)</f>
        <v>144001000</v>
      </c>
      <c r="D173" s="26">
        <f aca="true" t="shared" si="65" ref="D173:D180">STDEV(E173:T173)</f>
        <v>45236810.23494609</v>
      </c>
      <c r="E173">
        <f aca="true" t="shared" si="66" ref="E173:T173">E57+E58</f>
        <v>65582200</v>
      </c>
      <c r="F173">
        <f t="shared" si="66"/>
        <v>69913500</v>
      </c>
      <c r="G173">
        <f t="shared" si="66"/>
        <v>77743900</v>
      </c>
      <c r="H173">
        <f t="shared" si="66"/>
        <v>84347400</v>
      </c>
      <c r="I173">
        <f t="shared" si="66"/>
        <v>95747700</v>
      </c>
      <c r="J173">
        <f t="shared" si="66"/>
        <v>108237000</v>
      </c>
      <c r="K173">
        <f t="shared" si="66"/>
        <v>122073700</v>
      </c>
      <c r="L173">
        <f t="shared" si="66"/>
        <v>131908300</v>
      </c>
      <c r="M173">
        <f t="shared" si="66"/>
        <v>141134300</v>
      </c>
      <c r="N173">
        <f t="shared" si="66"/>
        <v>145170600</v>
      </c>
      <c r="O173">
        <f t="shared" si="66"/>
        <v>150586400</v>
      </c>
      <c r="P173">
        <f t="shared" si="66"/>
        <v>159913900</v>
      </c>
      <c r="Q173">
        <f t="shared" si="66"/>
        <v>169107504</v>
      </c>
      <c r="R173">
        <f t="shared" si="66"/>
        <v>179743800</v>
      </c>
      <c r="S173">
        <f t="shared" si="66"/>
        <v>196666000</v>
      </c>
      <c r="T173">
        <f t="shared" si="66"/>
        <v>209583200</v>
      </c>
    </row>
    <row r="174" spans="1:20" ht="12.75">
      <c r="A174" t="s">
        <v>120</v>
      </c>
      <c r="B174" s="5">
        <f t="shared" si="63"/>
        <v>2.4584493596615307</v>
      </c>
      <c r="C174" s="18">
        <f t="shared" si="64"/>
        <v>38757700</v>
      </c>
      <c r="D174" s="26">
        <f t="shared" si="65"/>
        <v>12972574.654411966</v>
      </c>
      <c r="E174">
        <f aca="true" t="shared" si="67" ref="E174:T174">E59+E60</f>
        <v>15765100</v>
      </c>
      <c r="F174">
        <f t="shared" si="67"/>
        <v>16823100</v>
      </c>
      <c r="G174">
        <f t="shared" si="67"/>
        <v>17052800</v>
      </c>
      <c r="H174">
        <f t="shared" si="67"/>
        <v>18309100</v>
      </c>
      <c r="I174">
        <f t="shared" si="67"/>
        <v>18791900</v>
      </c>
      <c r="J174">
        <f t="shared" si="67"/>
        <v>20836000</v>
      </c>
      <c r="K174">
        <f t="shared" si="67"/>
        <v>23505700</v>
      </c>
      <c r="L174">
        <f t="shared" si="67"/>
        <v>27917700</v>
      </c>
      <c r="M174">
        <f t="shared" si="67"/>
        <v>30865100</v>
      </c>
      <c r="N174">
        <f t="shared" si="67"/>
        <v>32681400</v>
      </c>
      <c r="O174">
        <f t="shared" si="67"/>
        <v>36960900</v>
      </c>
      <c r="P174">
        <f t="shared" si="67"/>
        <v>39590500</v>
      </c>
      <c r="Q174">
        <f t="shared" si="67"/>
        <v>42617400</v>
      </c>
      <c r="R174">
        <f t="shared" si="67"/>
        <v>46984900</v>
      </c>
      <c r="S174">
        <f t="shared" si="67"/>
        <v>50029700</v>
      </c>
      <c r="T174">
        <f t="shared" si="67"/>
        <v>54522800</v>
      </c>
    </row>
    <row r="175" spans="1:20" ht="12.75">
      <c r="A175" t="s">
        <v>121</v>
      </c>
      <c r="B175" s="5">
        <f t="shared" si="63"/>
        <v>0.35275387370101274</v>
      </c>
      <c r="C175" s="18">
        <f t="shared" si="64"/>
        <v>8530400</v>
      </c>
      <c r="D175" s="26">
        <f t="shared" si="65"/>
        <v>3194707.694270844</v>
      </c>
      <c r="E175">
        <f aca="true" t="shared" si="68" ref="E175:T175">E61+E62</f>
        <v>24182300</v>
      </c>
      <c r="F175">
        <f t="shared" si="68"/>
        <v>24945000</v>
      </c>
      <c r="G175">
        <f t="shared" si="68"/>
        <v>26067800</v>
      </c>
      <c r="H175">
        <f t="shared" si="68"/>
        <v>27665200</v>
      </c>
      <c r="I175">
        <f t="shared" si="68"/>
        <v>28692600</v>
      </c>
      <c r="J175">
        <f t="shared" si="68"/>
        <v>30249300</v>
      </c>
      <c r="K175">
        <f t="shared" si="68"/>
        <v>30204700</v>
      </c>
      <c r="L175">
        <f t="shared" si="68"/>
        <v>30437700</v>
      </c>
      <c r="M175">
        <f t="shared" si="68"/>
        <v>31096800</v>
      </c>
      <c r="N175">
        <f t="shared" si="68"/>
        <v>31726700</v>
      </c>
      <c r="O175">
        <f t="shared" si="68"/>
        <v>32231600</v>
      </c>
      <c r="P175">
        <f t="shared" si="68"/>
        <v>33294000</v>
      </c>
      <c r="Q175">
        <f t="shared" si="68"/>
        <v>33680100</v>
      </c>
      <c r="R175">
        <f t="shared" si="68"/>
        <v>34072600</v>
      </c>
      <c r="S175">
        <f t="shared" si="68"/>
        <v>33861500</v>
      </c>
      <c r="T175">
        <f t="shared" si="68"/>
        <v>32712700</v>
      </c>
    </row>
    <row r="176" spans="1:20" ht="12.75">
      <c r="A176" t="s">
        <v>122</v>
      </c>
      <c r="B176" s="5">
        <f t="shared" si="63"/>
        <v>-0.8171912832929782</v>
      </c>
      <c r="C176" s="18">
        <f t="shared" si="64"/>
        <v>-67500</v>
      </c>
      <c r="D176" s="26">
        <f t="shared" si="65"/>
        <v>47825.193848709765</v>
      </c>
      <c r="E176">
        <f aca="true" t="shared" si="69" ref="E176:T176">E63+E64+E66</f>
        <v>82600</v>
      </c>
      <c r="F176">
        <f t="shared" si="69"/>
        <v>94400</v>
      </c>
      <c r="G176">
        <f t="shared" si="69"/>
        <v>102900</v>
      </c>
      <c r="H176">
        <f t="shared" si="69"/>
        <v>109400</v>
      </c>
      <c r="I176">
        <f t="shared" si="69"/>
        <v>118600</v>
      </c>
      <c r="J176">
        <f t="shared" si="69"/>
        <v>131200</v>
      </c>
      <c r="K176">
        <f t="shared" si="69"/>
        <v>166400</v>
      </c>
      <c r="L176">
        <f t="shared" si="69"/>
        <v>119000</v>
      </c>
      <c r="M176">
        <f t="shared" si="69"/>
        <v>107900</v>
      </c>
      <c r="N176">
        <f t="shared" si="69"/>
        <v>105000</v>
      </c>
      <c r="O176">
        <f t="shared" si="69"/>
        <v>50300</v>
      </c>
      <c r="P176">
        <f t="shared" si="69"/>
        <v>43400</v>
      </c>
      <c r="Q176">
        <f t="shared" si="69"/>
        <v>23800</v>
      </c>
      <c r="R176">
        <f t="shared" si="69"/>
        <v>13400</v>
      </c>
      <c r="S176">
        <f t="shared" si="69"/>
        <v>15200</v>
      </c>
      <c r="T176">
        <f t="shared" si="69"/>
        <v>15100</v>
      </c>
    </row>
    <row r="177" spans="1:20" ht="12.75">
      <c r="A177" t="s">
        <v>89</v>
      </c>
      <c r="B177" s="5" t="e">
        <f t="shared" si="63"/>
        <v>#DIV/0!</v>
      </c>
      <c r="C177" s="18">
        <f t="shared" si="64"/>
        <v>3600</v>
      </c>
      <c r="D177" s="26">
        <f t="shared" si="65"/>
        <v>6435.833926798712</v>
      </c>
      <c r="E177">
        <f aca="true" t="shared" si="70" ref="E177:T177">E65</f>
        <v>0</v>
      </c>
      <c r="F177">
        <f t="shared" si="70"/>
        <v>0</v>
      </c>
      <c r="G177">
        <f t="shared" si="70"/>
        <v>0</v>
      </c>
      <c r="H177">
        <f t="shared" si="70"/>
        <v>0</v>
      </c>
      <c r="I177">
        <f t="shared" si="70"/>
        <v>0</v>
      </c>
      <c r="J177">
        <f t="shared" si="70"/>
        <v>0</v>
      </c>
      <c r="K177">
        <f t="shared" si="70"/>
        <v>0</v>
      </c>
      <c r="L177">
        <f t="shared" si="70"/>
        <v>0</v>
      </c>
      <c r="M177">
        <f t="shared" si="70"/>
        <v>0</v>
      </c>
      <c r="N177">
        <f t="shared" si="70"/>
        <v>0</v>
      </c>
      <c r="O177">
        <f t="shared" si="70"/>
        <v>12600</v>
      </c>
      <c r="P177">
        <f t="shared" si="70"/>
        <v>13700</v>
      </c>
      <c r="Q177">
        <f t="shared" si="70"/>
        <v>14400</v>
      </c>
      <c r="R177">
        <f t="shared" si="70"/>
        <v>17600</v>
      </c>
      <c r="S177">
        <f t="shared" si="70"/>
        <v>4600</v>
      </c>
      <c r="T177">
        <f t="shared" si="70"/>
        <v>3600</v>
      </c>
    </row>
    <row r="178" spans="1:20" ht="12.75">
      <c r="A178" t="s">
        <v>90</v>
      </c>
      <c r="B178" s="5" t="e">
        <f t="shared" si="63"/>
        <v>#DIV/0!</v>
      </c>
      <c r="C178" s="18">
        <f t="shared" si="64"/>
        <v>0</v>
      </c>
      <c r="D178" s="26">
        <f t="shared" si="65"/>
        <v>0</v>
      </c>
      <c r="E178">
        <f aca="true" t="shared" si="71" ref="E178:T178">E67</f>
        <v>0</v>
      </c>
      <c r="F178">
        <f t="shared" si="71"/>
        <v>0</v>
      </c>
      <c r="G178">
        <f t="shared" si="71"/>
        <v>0</v>
      </c>
      <c r="H178">
        <f t="shared" si="71"/>
        <v>0</v>
      </c>
      <c r="I178">
        <f t="shared" si="71"/>
        <v>0</v>
      </c>
      <c r="J178">
        <f t="shared" si="71"/>
        <v>0</v>
      </c>
      <c r="K178">
        <f t="shared" si="71"/>
        <v>0</v>
      </c>
      <c r="L178">
        <f t="shared" si="71"/>
        <v>0</v>
      </c>
      <c r="M178">
        <f t="shared" si="71"/>
        <v>0</v>
      </c>
      <c r="N178">
        <f t="shared" si="71"/>
        <v>0</v>
      </c>
      <c r="O178">
        <f t="shared" si="71"/>
        <v>0</v>
      </c>
      <c r="P178">
        <f t="shared" si="71"/>
        <v>0</v>
      </c>
      <c r="Q178">
        <f t="shared" si="71"/>
        <v>0</v>
      </c>
      <c r="R178">
        <f t="shared" si="71"/>
        <v>0</v>
      </c>
      <c r="S178">
        <f t="shared" si="71"/>
        <v>0</v>
      </c>
      <c r="T178">
        <f t="shared" si="71"/>
        <v>0</v>
      </c>
    </row>
    <row r="179" spans="1:20" ht="12.75">
      <c r="A179" t="s">
        <v>123</v>
      </c>
      <c r="B179" s="5" t="e">
        <f t="shared" si="63"/>
        <v>#DIV/0!</v>
      </c>
      <c r="C179" s="18">
        <f t="shared" si="64"/>
        <v>0</v>
      </c>
      <c r="D179" s="26">
        <f t="shared" si="65"/>
        <v>74562.37852742271</v>
      </c>
      <c r="E179">
        <f aca="true" t="shared" si="72" ref="E179:T179">SUM(E68:E69)</f>
        <v>0</v>
      </c>
      <c r="F179">
        <f t="shared" si="72"/>
        <v>0</v>
      </c>
      <c r="G179">
        <f t="shared" si="72"/>
        <v>0</v>
      </c>
      <c r="H179">
        <f t="shared" si="72"/>
        <v>0</v>
      </c>
      <c r="I179">
        <f t="shared" si="72"/>
        <v>0</v>
      </c>
      <c r="J179">
        <f t="shared" si="72"/>
        <v>0</v>
      </c>
      <c r="K179">
        <f t="shared" si="72"/>
        <v>120400</v>
      </c>
      <c r="L179">
        <f t="shared" si="72"/>
        <v>152600</v>
      </c>
      <c r="M179">
        <f t="shared" si="72"/>
        <v>157100</v>
      </c>
      <c r="N179">
        <f t="shared" si="72"/>
        <v>169900</v>
      </c>
      <c r="O179">
        <f t="shared" si="72"/>
        <v>170900</v>
      </c>
      <c r="P179">
        <f t="shared" si="72"/>
        <v>0</v>
      </c>
      <c r="Q179">
        <f t="shared" si="72"/>
        <v>0</v>
      </c>
      <c r="R179">
        <f t="shared" si="72"/>
        <v>0</v>
      </c>
      <c r="S179">
        <f t="shared" si="72"/>
        <v>0</v>
      </c>
      <c r="T179">
        <f t="shared" si="72"/>
        <v>0</v>
      </c>
    </row>
    <row r="180" spans="1:20" ht="12.75">
      <c r="A180" t="s">
        <v>124</v>
      </c>
      <c r="B180" s="5">
        <f t="shared" si="63"/>
        <v>0.039570535903410295</v>
      </c>
      <c r="C180" s="18">
        <f t="shared" si="64"/>
        <v>298900</v>
      </c>
      <c r="D180" s="26">
        <f t="shared" si="65"/>
        <v>942490.8420421566</v>
      </c>
      <c r="E180">
        <f aca="true" t="shared" si="73" ref="E180:T180">SUM(E70:E77)</f>
        <v>7553600</v>
      </c>
      <c r="F180">
        <f t="shared" si="73"/>
        <v>7653100</v>
      </c>
      <c r="G180">
        <f t="shared" si="73"/>
        <v>7430500</v>
      </c>
      <c r="H180">
        <f t="shared" si="73"/>
        <v>7598800</v>
      </c>
      <c r="I180">
        <f t="shared" si="73"/>
        <v>8232300</v>
      </c>
      <c r="J180">
        <f t="shared" si="73"/>
        <v>9329300</v>
      </c>
      <c r="K180">
        <f t="shared" si="73"/>
        <v>9365700</v>
      </c>
      <c r="L180">
        <f t="shared" si="73"/>
        <v>9930300</v>
      </c>
      <c r="M180">
        <f t="shared" si="73"/>
        <v>10810100</v>
      </c>
      <c r="N180">
        <f t="shared" si="73"/>
        <v>8044100</v>
      </c>
      <c r="O180">
        <f t="shared" si="73"/>
        <v>8534800</v>
      </c>
      <c r="P180">
        <f t="shared" si="73"/>
        <v>8272400</v>
      </c>
      <c r="Q180">
        <f t="shared" si="73"/>
        <v>8806100</v>
      </c>
      <c r="R180">
        <f t="shared" si="73"/>
        <v>8484400</v>
      </c>
      <c r="S180">
        <f t="shared" si="73"/>
        <v>8854400</v>
      </c>
      <c r="T180">
        <f t="shared" si="73"/>
        <v>7852500</v>
      </c>
    </row>
    <row r="181" spans="1:20" ht="12.75">
      <c r="A181" t="s">
        <v>67</v>
      </c>
      <c r="B181" s="5">
        <f t="shared" si="63"/>
        <v>1.6924203248684673</v>
      </c>
      <c r="C181" s="18">
        <f t="shared" si="64"/>
        <v>191524100</v>
      </c>
      <c r="D181" s="26" t="str">
        <f>"Stan. Dev. = "&amp;TEXT(STDEV(E181:T181),"$0,000")</f>
        <v>Stan. Dev. = $61,223,732</v>
      </c>
      <c r="E181">
        <f aca="true" t="shared" si="74" ref="E181:T181">SUM(E173:E180)</f>
        <v>113165800</v>
      </c>
      <c r="F181">
        <f t="shared" si="74"/>
        <v>119429100</v>
      </c>
      <c r="G181">
        <f t="shared" si="74"/>
        <v>128397900</v>
      </c>
      <c r="H181">
        <f t="shared" si="74"/>
        <v>138029900</v>
      </c>
      <c r="I181">
        <f t="shared" si="74"/>
        <v>151583100</v>
      </c>
      <c r="J181">
        <f t="shared" si="74"/>
        <v>168782800</v>
      </c>
      <c r="K181">
        <f t="shared" si="74"/>
        <v>185436600</v>
      </c>
      <c r="L181">
        <f t="shared" si="74"/>
        <v>200465600</v>
      </c>
      <c r="M181">
        <f t="shared" si="74"/>
        <v>214171300</v>
      </c>
      <c r="N181">
        <f t="shared" si="74"/>
        <v>217897700</v>
      </c>
      <c r="O181">
        <f t="shared" si="74"/>
        <v>228547500</v>
      </c>
      <c r="P181">
        <f t="shared" si="74"/>
        <v>241127900</v>
      </c>
      <c r="Q181">
        <f t="shared" si="74"/>
        <v>254249304</v>
      </c>
      <c r="R181">
        <f t="shared" si="74"/>
        <v>269316700</v>
      </c>
      <c r="S181">
        <f t="shared" si="74"/>
        <v>289431400</v>
      </c>
      <c r="T181">
        <f t="shared" si="74"/>
        <v>304689900</v>
      </c>
    </row>
    <row r="182" spans="1:5" ht="12.75">
      <c r="A182" t="s">
        <v>142</v>
      </c>
      <c r="B182" s="3" t="str">
        <f>"Stan. Dev. = "&amp;TEXT(STDEV(E82:S82),"$0,000")</f>
        <v>Stan. Dev. = $895,851</v>
      </c>
      <c r="E182" s="4"/>
    </row>
    <row r="183" spans="2:5" ht="12.75">
      <c r="B183" s="3"/>
      <c r="E183" s="4"/>
    </row>
    <row r="184" spans="1:20" ht="12.75">
      <c r="A184" s="83" t="s">
        <v>45</v>
      </c>
      <c r="E184" s="3">
        <f aca="true" t="shared" si="75" ref="E184:T184">E53</f>
        <v>5630700</v>
      </c>
      <c r="F184" s="3">
        <f t="shared" si="75"/>
        <v>3597300</v>
      </c>
      <c r="G184" s="3">
        <f t="shared" si="75"/>
        <v>3617300</v>
      </c>
      <c r="H184" s="3">
        <f t="shared" si="75"/>
        <v>4126200</v>
      </c>
      <c r="I184" s="3">
        <f t="shared" si="75"/>
        <v>4704600</v>
      </c>
      <c r="J184" s="3">
        <f t="shared" si="75"/>
        <v>4555000</v>
      </c>
      <c r="K184" s="3">
        <f t="shared" si="75"/>
        <v>3528700</v>
      </c>
      <c r="L184" s="3">
        <f t="shared" si="75"/>
        <v>6062100</v>
      </c>
      <c r="M184" s="3">
        <f t="shared" si="75"/>
        <v>8450300</v>
      </c>
      <c r="N184" s="3">
        <f t="shared" si="75"/>
        <v>5971892</v>
      </c>
      <c r="O184" s="3">
        <f t="shared" si="75"/>
        <v>5605301</v>
      </c>
      <c r="P184" s="3">
        <f t="shared" si="75"/>
        <v>5508369</v>
      </c>
      <c r="Q184" s="3">
        <f t="shared" si="75"/>
        <v>5422530</v>
      </c>
      <c r="R184" s="3">
        <f t="shared" si="75"/>
        <v>4950978</v>
      </c>
      <c r="S184" s="3">
        <f t="shared" si="75"/>
        <v>9051511</v>
      </c>
      <c r="T184" s="3">
        <f t="shared" si="75"/>
        <v>9504086.55</v>
      </c>
    </row>
    <row r="185" spans="1:20" ht="12.75">
      <c r="A185" t="s">
        <v>163</v>
      </c>
      <c r="E185" s="3">
        <f aca="true" t="shared" si="76" ref="E185:T185">SUM(E11:E12,E14:E19,E21:E26,E29)</f>
        <v>4768100</v>
      </c>
      <c r="F185" s="3">
        <f t="shared" si="76"/>
        <v>2942100</v>
      </c>
      <c r="G185" s="3">
        <f t="shared" si="76"/>
        <v>2348900</v>
      </c>
      <c r="H185" s="3">
        <f t="shared" si="76"/>
        <v>3776600</v>
      </c>
      <c r="I185" s="3">
        <f t="shared" si="76"/>
        <v>4065700</v>
      </c>
      <c r="J185" s="3">
        <f t="shared" si="76"/>
        <v>2557000</v>
      </c>
      <c r="K185" s="3">
        <f t="shared" si="76"/>
        <v>2351600</v>
      </c>
      <c r="L185" s="3">
        <f t="shared" si="76"/>
        <v>5727700</v>
      </c>
      <c r="M185" s="3">
        <f t="shared" si="76"/>
        <v>6572200</v>
      </c>
      <c r="N185" s="3">
        <f t="shared" si="76"/>
        <v>4033530</v>
      </c>
      <c r="O185" s="3">
        <f t="shared" si="76"/>
        <v>4149845</v>
      </c>
      <c r="P185" s="3">
        <f t="shared" si="76"/>
        <v>3063804</v>
      </c>
      <c r="Q185" s="3">
        <f t="shared" si="76"/>
        <v>3285067</v>
      </c>
      <c r="R185" s="3">
        <f t="shared" si="76"/>
        <v>4015115</v>
      </c>
      <c r="S185" s="3">
        <f t="shared" si="76"/>
        <v>5775417</v>
      </c>
      <c r="T185" s="3">
        <f t="shared" si="76"/>
        <v>6064187.85</v>
      </c>
    </row>
    <row r="186" spans="1:20" ht="12.75">
      <c r="A186" t="s">
        <v>166</v>
      </c>
      <c r="E186" s="3">
        <f aca="true" t="shared" si="77" ref="E186:T186">E184-E185</f>
        <v>862600</v>
      </c>
      <c r="F186" s="3">
        <f t="shared" si="77"/>
        <v>655200</v>
      </c>
      <c r="G186" s="3">
        <f t="shared" si="77"/>
        <v>1268400</v>
      </c>
      <c r="H186" s="3">
        <f t="shared" si="77"/>
        <v>349600</v>
      </c>
      <c r="I186" s="3">
        <f t="shared" si="77"/>
        <v>638900</v>
      </c>
      <c r="J186" s="3">
        <f t="shared" si="77"/>
        <v>1998000</v>
      </c>
      <c r="K186" s="3">
        <f t="shared" si="77"/>
        <v>1177100</v>
      </c>
      <c r="L186" s="3">
        <f t="shared" si="77"/>
        <v>334400</v>
      </c>
      <c r="M186" s="3">
        <f t="shared" si="77"/>
        <v>1878100</v>
      </c>
      <c r="N186" s="3">
        <f t="shared" si="77"/>
        <v>1938362</v>
      </c>
      <c r="O186" s="3">
        <f t="shared" si="77"/>
        <v>1455456</v>
      </c>
      <c r="P186" s="3">
        <f t="shared" si="77"/>
        <v>2444565</v>
      </c>
      <c r="Q186" s="3">
        <f t="shared" si="77"/>
        <v>2137463</v>
      </c>
      <c r="R186" s="3">
        <f t="shared" si="77"/>
        <v>935863</v>
      </c>
      <c r="S186" s="3">
        <f t="shared" si="77"/>
        <v>3276094</v>
      </c>
      <c r="T186" s="3">
        <f t="shared" si="77"/>
        <v>3439898.700000001</v>
      </c>
    </row>
    <row r="187" spans="1:20" ht="12.75">
      <c r="A187" t="s">
        <v>167</v>
      </c>
      <c r="E187" s="3">
        <f aca="true" t="shared" si="78" ref="E187:T187">E89</f>
        <v>739230</v>
      </c>
      <c r="F187" s="3">
        <f t="shared" si="78"/>
        <v>714830</v>
      </c>
      <c r="G187" s="3">
        <f t="shared" si="78"/>
        <v>771611</v>
      </c>
      <c r="H187" s="3">
        <f t="shared" si="78"/>
        <v>929726</v>
      </c>
      <c r="I187" s="3">
        <f t="shared" si="78"/>
        <v>1073916</v>
      </c>
      <c r="J187" s="3">
        <f t="shared" si="78"/>
        <v>1109748</v>
      </c>
      <c r="K187" s="3">
        <f t="shared" si="78"/>
        <v>1442663</v>
      </c>
      <c r="L187" s="3">
        <f t="shared" si="78"/>
        <v>1432868</v>
      </c>
      <c r="M187" s="3">
        <f t="shared" si="78"/>
        <v>1454731</v>
      </c>
      <c r="N187" s="3">
        <f t="shared" si="78"/>
        <v>1517937</v>
      </c>
      <c r="O187" s="3">
        <f t="shared" si="78"/>
        <v>1602384</v>
      </c>
      <c r="P187" s="3">
        <f t="shared" si="78"/>
        <v>1725622</v>
      </c>
      <c r="Q187" s="3">
        <f t="shared" si="78"/>
        <v>1870580</v>
      </c>
      <c r="R187" s="3">
        <f t="shared" si="78"/>
        <v>1879730</v>
      </c>
      <c r="S187" s="3">
        <f t="shared" si="78"/>
        <v>1888035</v>
      </c>
      <c r="T187" s="3">
        <f t="shared" si="78"/>
        <v>1982436.75</v>
      </c>
    </row>
    <row r="188" spans="1:20" ht="12.75">
      <c r="A188" t="s">
        <v>168</v>
      </c>
      <c r="E188" s="3">
        <f aca="true" t="shared" si="79" ref="E188:T188">E187-E186</f>
        <v>-123370</v>
      </c>
      <c r="F188" s="3">
        <f t="shared" si="79"/>
        <v>59630</v>
      </c>
      <c r="G188" s="3">
        <f t="shared" si="79"/>
        <v>-496789</v>
      </c>
      <c r="H188" s="3">
        <f t="shared" si="79"/>
        <v>580126</v>
      </c>
      <c r="I188" s="3">
        <f t="shared" si="79"/>
        <v>435016</v>
      </c>
      <c r="J188" s="3">
        <f t="shared" si="79"/>
        <v>-888252</v>
      </c>
      <c r="K188" s="3">
        <f t="shared" si="79"/>
        <v>265563</v>
      </c>
      <c r="L188" s="3">
        <f t="shared" si="79"/>
        <v>1098468</v>
      </c>
      <c r="M188" s="3">
        <f t="shared" si="79"/>
        <v>-423369</v>
      </c>
      <c r="N188" s="3">
        <f t="shared" si="79"/>
        <v>-420425</v>
      </c>
      <c r="O188" s="3">
        <f t="shared" si="79"/>
        <v>146928</v>
      </c>
      <c r="P188" s="3">
        <f t="shared" si="79"/>
        <v>-718943</v>
      </c>
      <c r="Q188" s="3">
        <f t="shared" si="79"/>
        <v>-266883</v>
      </c>
      <c r="R188" s="3">
        <f t="shared" si="79"/>
        <v>943867</v>
      </c>
      <c r="S188" s="3">
        <f t="shared" si="79"/>
        <v>-1388059</v>
      </c>
      <c r="T188" s="3">
        <f t="shared" si="79"/>
        <v>-1457461.9500000011</v>
      </c>
    </row>
    <row r="190" ht="12.75">
      <c r="A190" t="s">
        <v>165</v>
      </c>
    </row>
    <row r="191" ht="12.75">
      <c r="A191" t="s">
        <v>93</v>
      </c>
    </row>
    <row r="194" spans="1:3" ht="12.75">
      <c r="A194" t="s">
        <v>170</v>
      </c>
      <c r="B194" t="s">
        <v>86</v>
      </c>
      <c r="C194">
        <f>CORREL(E187:T187,E105:T105)</f>
        <v>0.9927216695472382</v>
      </c>
    </row>
    <row r="195" spans="1:3" ht="12.75">
      <c r="A195" t="s">
        <v>170</v>
      </c>
      <c r="B195" t="s">
        <v>87</v>
      </c>
      <c r="C195">
        <f>CORREL(E82:T82,E105:T105)</f>
        <v>0.9644686439659077</v>
      </c>
    </row>
    <row r="196" spans="1:3" ht="12.75">
      <c r="A196" t="s">
        <v>169</v>
      </c>
      <c r="B196" t="s">
        <v>175</v>
      </c>
      <c r="C196">
        <f>CORREL(E185:T185,E105:T105)</f>
        <v>0.34500322529557587</v>
      </c>
    </row>
    <row r="197" spans="1:3" ht="12.75">
      <c r="A197" t="s">
        <v>171</v>
      </c>
      <c r="B197" t="s">
        <v>173</v>
      </c>
      <c r="C197">
        <f>CORREL(E184:T184,E105:T105)</f>
        <v>0.5851185803592853</v>
      </c>
    </row>
    <row r="198" spans="1:3" ht="12.75">
      <c r="A198" t="s">
        <v>171</v>
      </c>
      <c r="B198" t="s">
        <v>172</v>
      </c>
      <c r="C198">
        <f>CORREL(E181:T181,E105:T105)</f>
        <v>0.9789424570311942</v>
      </c>
    </row>
    <row r="199" spans="1:3" ht="12.75">
      <c r="A199" t="s">
        <v>171</v>
      </c>
      <c r="B199" t="s">
        <v>174</v>
      </c>
      <c r="C199">
        <f>CORREL(E98:T98,E105:T105)</f>
        <v>0.9731037836339388</v>
      </c>
    </row>
  </sheetData>
  <sheetProtection/>
  <conditionalFormatting sqref="B118 B111:C117 B173:B183">
    <cfRule type="cellIs" priority="1" dxfId="1" operator="lessThan" stopIfTrue="1">
      <formula>0</formula>
    </cfRule>
  </conditionalFormatting>
  <conditionalFormatting sqref="D119 B122:C126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 Data Processing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 County</dc:creator>
  <cp:keywords/>
  <dc:description/>
  <cp:lastModifiedBy>Frank Martinez</cp:lastModifiedBy>
  <cp:lastPrinted>2004-06-17T19:43:22Z</cp:lastPrinted>
  <dcterms:created xsi:type="dcterms:W3CDTF">2002-03-06T21:18:49Z</dcterms:created>
  <dcterms:modified xsi:type="dcterms:W3CDTF">2016-04-11T13:42:00Z</dcterms:modified>
  <cp:category/>
  <cp:version/>
  <cp:contentType/>
  <cp:contentStatus/>
</cp:coreProperties>
</file>