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0" windowWidth="22920" windowHeight="12480" tabRatio="713" activeTab="0"/>
  </bookViews>
  <sheets>
    <sheet name="Alfalfa-Grass" sheetId="1" r:id="rId1"/>
  </sheets>
  <definedNames/>
  <calcPr fullCalcOnLoad="1"/>
</workbook>
</file>

<file path=xl/comments1.xml><?xml version="1.0" encoding="utf-8"?>
<comments xmlns="http://schemas.openxmlformats.org/spreadsheetml/2006/main">
  <authors>
    <author>RDShaver</author>
  </authors>
  <commentList>
    <comment ref="E9" authorId="0">
      <text>
        <r>
          <rPr>
            <b/>
            <sz val="9"/>
            <rFont val="Tahoma"/>
            <family val="2"/>
          </rPr>
          <t>Enter YES if have Combs ttNDFD values and want to use them in calculations, otherwise leave as NO</t>
        </r>
      </text>
    </comment>
    <comment ref="F10" authorId="0">
      <text>
        <r>
          <rPr>
            <b/>
            <sz val="9"/>
            <rFont val="Tahoma"/>
            <family val="2"/>
          </rPr>
          <t xml:space="preserve">Must enter Lab Average value for the corresponding inucbation time point in cell Q4 to use
</t>
        </r>
      </text>
    </comment>
  </commentList>
</comments>
</file>

<file path=xl/sharedStrings.xml><?xml version="1.0" encoding="utf-8"?>
<sst xmlns="http://schemas.openxmlformats.org/spreadsheetml/2006/main" count="64" uniqueCount="56">
  <si>
    <t>Analysis Method</t>
  </si>
  <si>
    <t>Field Measure</t>
  </si>
  <si>
    <t>Lab or Book Value</t>
  </si>
  <si>
    <t>Calculated</t>
  </si>
  <si>
    <t xml:space="preserve">Calculated </t>
  </si>
  <si>
    <t>Calculated Values</t>
  </si>
  <si>
    <t>Required Input</t>
  </si>
  <si>
    <t>Authors:</t>
  </si>
  <si>
    <t xml:space="preserve"> Milk</t>
  </si>
  <si>
    <t>Sample ID</t>
  </si>
  <si>
    <t>Old DMI lbs/d</t>
  </si>
  <si>
    <t>Base Forage DMI, lbs/d</t>
  </si>
  <si>
    <t>Adjusted Forage DMI, lbs/d</t>
  </si>
  <si>
    <t>Adjusted Total DMI lbs/d</t>
  </si>
  <si>
    <t>Forage, % of Total DMI</t>
  </si>
  <si>
    <t>Dan Undersander, Dept of Agronomy</t>
  </si>
  <si>
    <t>Dave Combs, Dept of Dairy Science</t>
  </si>
  <si>
    <t>RFV</t>
  </si>
  <si>
    <t>Grass TDN max cp</t>
  </si>
  <si>
    <t>adj cp for grass</t>
  </si>
  <si>
    <t>Lab Average NDFD</t>
  </si>
  <si>
    <t>NDFD maint</t>
  </si>
  <si>
    <t>Grass DMI max cp % BW</t>
  </si>
  <si>
    <t>new milk from forage (lbs)</t>
  </si>
  <si>
    <t>new calc NEL3X</t>
  </si>
  <si>
    <t>old calc NEL   Mcals/lb</t>
  </si>
  <si>
    <r>
      <t xml:space="preserve">Ether Extract, </t>
    </r>
    <r>
      <rPr>
        <sz val="8"/>
        <rFont val="Arial"/>
        <family val="2"/>
      </rPr>
      <t>% of DM</t>
    </r>
  </si>
  <si>
    <r>
      <t>Yield DM</t>
    </r>
    <r>
      <rPr>
        <sz val="8"/>
        <rFont val="Arial"/>
        <family val="2"/>
      </rPr>
      <t xml:space="preserve"> tons/acre</t>
    </r>
  </si>
  <si>
    <t>Milk/ton lb/ton</t>
  </si>
  <si>
    <t>Milk per acre lb/acre</t>
  </si>
  <si>
    <t>adj. NDFD</t>
  </si>
  <si>
    <r>
      <t xml:space="preserve">CP                      </t>
    </r>
    <r>
      <rPr>
        <sz val="8"/>
        <rFont val="Arial"/>
        <family val="2"/>
      </rPr>
      <t>% of DM</t>
    </r>
  </si>
  <si>
    <r>
      <t xml:space="preserve">NDF              </t>
    </r>
    <r>
      <rPr>
        <sz val="8"/>
        <rFont val="Arial"/>
        <family val="2"/>
      </rPr>
      <t xml:space="preserve"> % of DM</t>
    </r>
  </si>
  <si>
    <r>
      <t xml:space="preserve">ADF                                    </t>
    </r>
    <r>
      <rPr>
        <sz val="8"/>
        <rFont val="Arial"/>
        <family val="2"/>
      </rPr>
      <t>% of DM</t>
    </r>
  </si>
  <si>
    <t>Combs ttNDFD                     % of NDF</t>
  </si>
  <si>
    <t>Lab               Value</t>
  </si>
  <si>
    <t>Lab             Value</t>
  </si>
  <si>
    <t>Lab                       Value</t>
  </si>
  <si>
    <t>Lab                 Value</t>
  </si>
  <si>
    <t>Lab                    Value</t>
  </si>
  <si>
    <r>
      <t xml:space="preserve">NDF Digestibility 24, 30, 48h IV             </t>
    </r>
    <r>
      <rPr>
        <sz val="8"/>
        <rFont val="Arial"/>
        <family val="2"/>
      </rPr>
      <t xml:space="preserve">               % of NDF</t>
    </r>
  </si>
  <si>
    <t xml:space="preserve"> </t>
  </si>
  <si>
    <r>
      <t xml:space="preserve">Percent Grass            </t>
    </r>
    <r>
      <rPr>
        <sz val="8"/>
        <rFont val="Arial"/>
        <family val="2"/>
      </rPr>
      <t xml:space="preserve">( 0 to 100) </t>
    </r>
  </si>
  <si>
    <r>
      <t xml:space="preserve">NFC               </t>
    </r>
    <r>
      <rPr>
        <sz val="8"/>
        <rFont val="Arial"/>
        <family val="2"/>
      </rPr>
      <t xml:space="preserve"> % of DM</t>
    </r>
  </si>
  <si>
    <r>
      <t xml:space="preserve">NDFCP                </t>
    </r>
    <r>
      <rPr>
        <sz val="8"/>
        <rFont val="Arial"/>
        <family val="2"/>
      </rPr>
      <t xml:space="preserve"> % of DM</t>
    </r>
  </si>
  <si>
    <r>
      <t xml:space="preserve">Ash                        </t>
    </r>
    <r>
      <rPr>
        <sz val="8"/>
        <rFont val="Arial"/>
        <family val="2"/>
      </rPr>
      <t>% of DM</t>
    </r>
  </si>
  <si>
    <r>
      <t xml:space="preserve"> Summative TDN                        </t>
    </r>
    <r>
      <rPr>
        <sz val="8"/>
        <rFont val="Arial"/>
        <family val="2"/>
      </rPr>
      <t>% of DM</t>
    </r>
  </si>
  <si>
    <t>RFQ                intake</t>
  </si>
  <si>
    <t>Randy Shaver,  Dept. of Dairy Science</t>
  </si>
  <si>
    <t xml:space="preserve">Relative Forage Quality 
</t>
  </si>
  <si>
    <t>high quality Alfalfa</t>
  </si>
  <si>
    <t xml:space="preserve">low quality Alfalfa </t>
  </si>
  <si>
    <t>High quality Grass</t>
  </si>
  <si>
    <t>yes</t>
  </si>
  <si>
    <t xml:space="preserve">    verTTNDFD University of Wisconsin Alfalfa/Grass Evaluation System (Milk 2016)</t>
  </si>
  <si>
    <t>ALFALFA-GRASS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</si>
</sst>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/d/yyyy"/>
  </numFmts>
  <fonts count="5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4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173" fontId="0" fillId="33" borderId="10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" fillId="0" borderId="10" xfId="0" applyFont="1" applyBorder="1" applyAlignment="1" applyProtection="1">
      <alignment horizontal="center" vertical="top" wrapText="1"/>
      <protection/>
    </xf>
    <xf numFmtId="1" fontId="2" fillId="0" borderId="10" xfId="0" applyNumberFormat="1" applyFont="1" applyBorder="1" applyAlignment="1" applyProtection="1">
      <alignment horizontal="center" vertical="top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3" fontId="0" fillId="0" borderId="0" xfId="0" applyNumberFormat="1" applyAlignment="1">
      <alignment/>
    </xf>
    <xf numFmtId="173" fontId="2" fillId="0" borderId="10" xfId="0" applyNumberFormat="1" applyFont="1" applyBorder="1" applyAlignment="1" applyProtection="1">
      <alignment horizontal="center" vertical="top" wrapText="1"/>
      <protection/>
    </xf>
    <xf numFmtId="173" fontId="0" fillId="33" borderId="11" xfId="0" applyNumberFormat="1" applyFill="1" applyBorder="1" applyAlignment="1" applyProtection="1">
      <alignment horizontal="center"/>
      <protection locked="0"/>
    </xf>
    <xf numFmtId="9" fontId="0" fillId="33" borderId="10" xfId="0" applyNumberFormat="1" applyFont="1" applyFill="1" applyBorder="1" applyAlignment="1" applyProtection="1">
      <alignment horizontal="center"/>
      <protection locked="0"/>
    </xf>
    <xf numFmtId="0" fontId="2" fillId="16" borderId="10" xfId="0" applyFont="1" applyFill="1" applyBorder="1" applyAlignment="1" applyProtection="1">
      <alignment horizontal="center" vertical="top" wrapText="1"/>
      <protection/>
    </xf>
    <xf numFmtId="173" fontId="0" fillId="16" borderId="10" xfId="0" applyNumberForma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16" borderId="10" xfId="0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3" fontId="2" fillId="35" borderId="10" xfId="0" applyNumberFormat="1" applyFont="1" applyFill="1" applyBorder="1" applyAlignment="1" applyProtection="1">
      <alignment horizontal="center" vertical="center" wrapText="1"/>
      <protection/>
    </xf>
    <xf numFmtId="178" fontId="2" fillId="35" borderId="10" xfId="0" applyNumberFormat="1" applyFont="1" applyFill="1" applyBorder="1" applyAlignment="1" applyProtection="1">
      <alignment horizontal="center" vertical="center" wrapText="1"/>
      <protection/>
    </xf>
    <xf numFmtId="2" fontId="2" fillId="35" borderId="13" xfId="0" applyNumberFormat="1" applyFont="1" applyFill="1" applyBorder="1" applyAlignment="1" applyProtection="1">
      <alignment horizontal="center" vertical="center" wrapText="1"/>
      <protection/>
    </xf>
    <xf numFmtId="173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33" borderId="10" xfId="0" applyNumberFormat="1" applyFill="1" applyBorder="1" applyAlignment="1" applyProtection="1">
      <alignment horizontal="center"/>
      <protection locked="0"/>
    </xf>
    <xf numFmtId="173" fontId="0" fillId="33" borderId="13" xfId="0" applyNumberFormat="1" applyFill="1" applyBorder="1" applyAlignment="1" applyProtection="1">
      <alignment horizontal="center"/>
      <protection locked="0"/>
    </xf>
    <xf numFmtId="1" fontId="0" fillId="16" borderId="10" xfId="0" applyNumberFormat="1" applyFont="1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/>
      <protection/>
    </xf>
    <xf numFmtId="0" fontId="0" fillId="0" borderId="1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50" fillId="34" borderId="15" xfId="0" applyFont="1" applyFill="1" applyBorder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0" fontId="4" fillId="34" borderId="15" xfId="0" applyFont="1" applyFill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173" fontId="0" fillId="33" borderId="10" xfId="0" applyNumberFormat="1" applyFill="1" applyBorder="1" applyAlignment="1" applyProtection="1">
      <alignment horizontal="center"/>
      <protection/>
    </xf>
    <xf numFmtId="0" fontId="5" fillId="34" borderId="16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17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7" fillId="34" borderId="18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4" borderId="16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50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20" xfId="0" applyFont="1" applyFill="1" applyBorder="1" applyAlignment="1" applyProtection="1">
      <alignment/>
      <protection/>
    </xf>
    <xf numFmtId="0" fontId="7" fillId="34" borderId="21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73" fontId="1" fillId="0" borderId="0" xfId="0" applyNumberFormat="1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173" fontId="0" fillId="16" borderId="10" xfId="0" applyNumberFormat="1" applyFill="1" applyBorder="1" applyAlignment="1" applyProtection="1">
      <alignment horizontal="center"/>
      <protection/>
    </xf>
    <xf numFmtId="173" fontId="0" fillId="33" borderId="13" xfId="0" applyNumberFormat="1" applyFill="1" applyBorder="1" applyAlignment="1" applyProtection="1">
      <alignment horizontal="center"/>
      <protection/>
    </xf>
    <xf numFmtId="9" fontId="0" fillId="33" borderId="10" xfId="0" applyNumberFormat="1" applyFont="1" applyFill="1" applyBorder="1" applyAlignment="1" applyProtection="1">
      <alignment horizontal="center"/>
      <protection/>
    </xf>
    <xf numFmtId="173" fontId="0" fillId="33" borderId="11" xfId="0" applyNumberFormat="1" applyFill="1" applyBorder="1" applyAlignment="1" applyProtection="1">
      <alignment horizontal="center"/>
      <protection/>
    </xf>
    <xf numFmtId="173" fontId="0" fillId="35" borderId="13" xfId="0" applyNumberFormat="1" applyFill="1" applyBorder="1" applyAlignment="1" applyProtection="1">
      <alignment horizontal="center"/>
      <protection/>
    </xf>
    <xf numFmtId="1" fontId="0" fillId="35" borderId="10" xfId="0" applyNumberFormat="1" applyFill="1" applyBorder="1" applyAlignment="1" applyProtection="1">
      <alignment horizontal="center"/>
      <protection/>
    </xf>
    <xf numFmtId="1" fontId="0" fillId="35" borderId="13" xfId="0" applyNumberFormat="1" applyFill="1" applyBorder="1" applyAlignment="1" applyProtection="1">
      <alignment horizontal="center"/>
      <protection/>
    </xf>
    <xf numFmtId="37" fontId="0" fillId="35" borderId="10" xfId="0" applyNumberFormat="1" applyFill="1" applyBorder="1" applyAlignment="1" applyProtection="1">
      <alignment horizontal="center"/>
      <protection/>
    </xf>
    <xf numFmtId="178" fontId="0" fillId="35" borderId="11" xfId="0" applyNumberFormat="1" applyFill="1" applyBorder="1" applyAlignment="1" applyProtection="1">
      <alignment horizontal="center"/>
      <protection/>
    </xf>
    <xf numFmtId="2" fontId="0" fillId="35" borderId="10" xfId="0" applyNumberFormat="1" applyFill="1" applyBorder="1" applyAlignment="1" applyProtection="1">
      <alignment horizontal="center"/>
      <protection/>
    </xf>
    <xf numFmtId="178" fontId="0" fillId="35" borderId="10" xfId="0" applyNumberFormat="1" applyFill="1" applyBorder="1" applyAlignment="1" applyProtection="1">
      <alignment horizontal="center"/>
      <protection/>
    </xf>
    <xf numFmtId="173" fontId="0" fillId="35" borderId="10" xfId="0" applyNumberFormat="1" applyFill="1" applyBorder="1" applyAlignment="1" applyProtection="1">
      <alignment horizontal="center"/>
      <protection/>
    </xf>
    <xf numFmtId="2" fontId="0" fillId="35" borderId="13" xfId="0" applyNumberFormat="1" applyFill="1" applyBorder="1" applyAlignment="1" applyProtection="1">
      <alignment horizontal="center"/>
      <protection/>
    </xf>
    <xf numFmtId="173" fontId="0" fillId="35" borderId="10" xfId="0" applyNumberFormat="1" applyFill="1" applyBorder="1" applyAlignment="1" applyProtection="1">
      <alignment/>
      <protection/>
    </xf>
    <xf numFmtId="2" fontId="0" fillId="35" borderId="10" xfId="0" applyNumberFormat="1" applyFill="1" applyBorder="1" applyAlignment="1" applyProtection="1">
      <alignment/>
      <protection/>
    </xf>
    <xf numFmtId="1" fontId="0" fillId="16" borderId="10" xfId="0" applyNumberFormat="1" applyFill="1" applyBorder="1" applyAlignment="1" applyProtection="1">
      <alignment horizontal="center"/>
      <protection/>
    </xf>
    <xf numFmtId="1" fontId="0" fillId="16" borderId="10" xfId="0" applyNumberForma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209550</xdr:rowOff>
    </xdr:from>
    <xdr:to>
      <xdr:col>0</xdr:col>
      <xdr:colOff>647700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09650"/>
          <a:ext cx="552450" cy="638175"/>
        </a:xfrm>
        <a:prstGeom prst="rect">
          <a:avLst/>
        </a:prstGeom>
        <a:noFill/>
        <a:ln w="25400" cmpd="sng">
          <a:noFill/>
        </a:ln>
      </xdr:spPr>
    </xdr:pic>
    <xdr:clientData/>
  </xdr:twoCellAnchor>
  <xdr:twoCellAnchor>
    <xdr:from>
      <xdr:col>1</xdr:col>
      <xdr:colOff>209550</xdr:colOff>
      <xdr:row>2</xdr:row>
      <xdr:rowOff>57150</xdr:rowOff>
    </xdr:from>
    <xdr:to>
      <xdr:col>6</xdr:col>
      <xdr:colOff>561975</xdr:colOff>
      <xdr:row>3</xdr:row>
      <xdr:rowOff>95250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381000"/>
          <a:ext cx="3162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tabSelected="1" zoomScalePageLayoutView="0" workbookViewId="0" topLeftCell="A1">
      <selection activeCell="C20" sqref="C20"/>
    </sheetView>
  </sheetViews>
  <sheetFormatPr defaultColWidth="8.8515625" defaultRowHeight="12.75"/>
  <cols>
    <col min="1" max="1" width="16.421875" style="0" customWidth="1"/>
    <col min="2" max="2" width="8.140625" style="0" customWidth="1"/>
    <col min="3" max="3" width="6.140625" style="0" bestFit="1" customWidth="1"/>
    <col min="4" max="4" width="8.8515625" style="0" bestFit="1" customWidth="1"/>
    <col min="5" max="5" width="8.8515625" style="0" customWidth="1"/>
    <col min="6" max="6" width="10.140625" style="0" bestFit="1" customWidth="1"/>
    <col min="7" max="7" width="10.140625" style="0" customWidth="1"/>
    <col min="8" max="9" width="9.421875" style="0" bestFit="1" customWidth="1"/>
    <col min="10" max="10" width="11.140625" style="0" customWidth="1"/>
    <col min="11" max="11" width="8.8515625" style="0" bestFit="1" customWidth="1"/>
    <col min="12" max="12" width="8.00390625" style="0" bestFit="1" customWidth="1"/>
    <col min="13" max="13" width="9.140625" style="0" hidden="1" customWidth="1"/>
    <col min="14" max="14" width="11.421875" style="0" customWidth="1"/>
    <col min="15" max="15" width="12.28125" style="0" customWidth="1"/>
    <col min="16" max="17" width="9.140625" style="3" bestFit="1" customWidth="1"/>
    <col min="18" max="18" width="10.140625" style="0" bestFit="1" customWidth="1"/>
    <col min="19" max="19" width="9.140625" style="0" hidden="1" customWidth="1"/>
    <col min="20" max="20" width="7.421875" style="0" hidden="1" customWidth="1"/>
    <col min="21" max="21" width="6.8515625" style="0" hidden="1" customWidth="1"/>
    <col min="22" max="22" width="8.421875" style="0" hidden="1" customWidth="1"/>
    <col min="23" max="23" width="8.140625" style="0" hidden="1" customWidth="1"/>
    <col min="24" max="24" width="8.421875" style="0" hidden="1" customWidth="1"/>
    <col min="25" max="25" width="8.421875" style="8" hidden="1" customWidth="1"/>
    <col min="26" max="26" width="5.421875" style="0" hidden="1" customWidth="1"/>
    <col min="27" max="27" width="7.8515625" style="0" hidden="1" customWidth="1"/>
    <col min="28" max="29" width="8.140625" style="0" hidden="1" customWidth="1"/>
    <col min="30" max="30" width="9.140625" style="0" hidden="1" customWidth="1"/>
    <col min="31" max="31" width="9.00390625" style="0" hidden="1" customWidth="1"/>
  </cols>
  <sheetData>
    <row r="1" spans="1:31" ht="12.75">
      <c r="A1" s="28"/>
      <c r="B1" s="85" t="s">
        <v>54</v>
      </c>
      <c r="C1" s="86"/>
      <c r="D1" s="87"/>
      <c r="E1" s="87"/>
      <c r="F1" s="87"/>
      <c r="G1" s="87"/>
      <c r="H1" s="87"/>
      <c r="I1" s="87"/>
      <c r="J1" s="87"/>
      <c r="K1" s="87"/>
      <c r="L1" s="87"/>
      <c r="M1" s="88"/>
      <c r="N1" s="30"/>
      <c r="O1" s="31"/>
      <c r="P1" s="32"/>
      <c r="Q1" s="32"/>
      <c r="R1" s="30"/>
      <c r="S1" s="29"/>
      <c r="T1" s="30"/>
      <c r="U1" s="31"/>
      <c r="V1" s="31"/>
      <c r="W1" s="31"/>
      <c r="X1" s="31"/>
      <c r="Y1" s="33"/>
      <c r="Z1" s="31"/>
      <c r="AA1" s="31"/>
      <c r="AB1" s="31"/>
      <c r="AC1" s="31"/>
      <c r="AD1" s="31"/>
      <c r="AE1" s="31"/>
    </row>
    <row r="2" spans="1:31" ht="12.75">
      <c r="A2" s="34" t="s">
        <v>55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  <c r="N2" s="30"/>
      <c r="O2" s="31"/>
      <c r="P2" s="35"/>
      <c r="Q2" s="35"/>
      <c r="R2" s="30"/>
      <c r="S2" s="30"/>
      <c r="T2" s="30"/>
      <c r="U2" s="31"/>
      <c r="V2" s="31"/>
      <c r="W2" s="31"/>
      <c r="X2" s="36"/>
      <c r="Y2" s="37"/>
      <c r="Z2" s="36"/>
      <c r="AA2" s="36"/>
      <c r="AB2" s="31"/>
      <c r="AC2" s="31"/>
      <c r="AD2" s="31"/>
      <c r="AE2" s="31"/>
    </row>
    <row r="3" spans="1:31" ht="18.75">
      <c r="A3" s="38" t="s">
        <v>8</v>
      </c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  <c r="N3" s="30"/>
      <c r="O3" s="31"/>
      <c r="P3" s="36"/>
      <c r="Q3" s="35"/>
      <c r="R3" s="30"/>
      <c r="S3" s="30"/>
      <c r="T3" s="30"/>
      <c r="U3" s="31"/>
      <c r="V3" s="31"/>
      <c r="W3" s="31"/>
      <c r="X3" s="36"/>
      <c r="Y3" s="37"/>
      <c r="Z3" s="36"/>
      <c r="AA3" s="36"/>
      <c r="AB3" s="31"/>
      <c r="AC3" s="31"/>
      <c r="AD3" s="31"/>
      <c r="AE3" s="31"/>
    </row>
    <row r="4" spans="1:31" ht="18.75">
      <c r="A4" s="39">
        <v>2016</v>
      </c>
      <c r="B4" s="92"/>
      <c r="C4" s="93"/>
      <c r="D4" s="93"/>
      <c r="E4" s="93"/>
      <c r="F4" s="93"/>
      <c r="G4" s="90"/>
      <c r="H4" s="90"/>
      <c r="I4" s="90"/>
      <c r="J4" s="93"/>
      <c r="K4" s="93"/>
      <c r="L4" s="93"/>
      <c r="M4" s="94"/>
      <c r="N4" s="30"/>
      <c r="O4" s="35" t="s">
        <v>20</v>
      </c>
      <c r="P4" s="31"/>
      <c r="Q4" s="2">
        <v>46.5</v>
      </c>
      <c r="R4" s="30"/>
      <c r="S4" s="30"/>
      <c r="T4" s="30"/>
      <c r="U4" s="36"/>
      <c r="V4" s="36"/>
      <c r="W4" s="36"/>
      <c r="X4" s="36"/>
      <c r="Y4" s="37"/>
      <c r="Z4" s="36"/>
      <c r="AA4" s="36"/>
      <c r="AB4" s="31"/>
      <c r="AC4" s="31"/>
      <c r="AD4" s="31"/>
      <c r="AE4" s="31"/>
    </row>
    <row r="5" spans="1:31" ht="18.75">
      <c r="A5" s="41"/>
      <c r="B5" s="31"/>
      <c r="C5" s="31"/>
      <c r="D5" s="31"/>
      <c r="E5" s="31"/>
      <c r="F5" s="42"/>
      <c r="G5" s="42"/>
      <c r="H5" s="42"/>
      <c r="I5" s="43"/>
      <c r="J5" s="44" t="s">
        <v>7</v>
      </c>
      <c r="K5" s="44"/>
      <c r="L5" s="45"/>
      <c r="M5" s="46"/>
      <c r="N5" s="36"/>
      <c r="O5" s="31"/>
      <c r="P5" s="35"/>
      <c r="Q5" s="35"/>
      <c r="R5" s="36"/>
      <c r="S5" s="36"/>
      <c r="T5" s="36"/>
      <c r="U5" s="36"/>
      <c r="V5" s="36"/>
      <c r="W5" s="36"/>
      <c r="X5" s="36"/>
      <c r="Y5" s="37"/>
      <c r="Z5" s="36"/>
      <c r="AA5" s="36"/>
      <c r="AB5" s="31"/>
      <c r="AC5" s="31"/>
      <c r="AD5" s="31"/>
      <c r="AE5" s="31"/>
    </row>
    <row r="6" spans="1:31" ht="12.75" customHeight="1">
      <c r="A6" s="41"/>
      <c r="B6" s="31"/>
      <c r="C6" s="31"/>
      <c r="D6" s="31"/>
      <c r="E6" s="31"/>
      <c r="F6" s="31"/>
      <c r="G6" s="43"/>
      <c r="H6" s="43"/>
      <c r="I6" s="47" t="s">
        <v>41</v>
      </c>
      <c r="J6" s="48" t="s">
        <v>15</v>
      </c>
      <c r="K6" s="48"/>
      <c r="L6" s="49"/>
      <c r="M6" s="50"/>
      <c r="N6" s="51" t="s">
        <v>6</v>
      </c>
      <c r="O6" s="52"/>
      <c r="P6" s="32"/>
      <c r="Q6" s="32"/>
      <c r="R6" s="31"/>
      <c r="S6" s="31"/>
      <c r="T6" s="36"/>
      <c r="U6" s="36"/>
      <c r="V6" s="36"/>
      <c r="W6" s="36"/>
      <c r="X6" s="36"/>
      <c r="Y6" s="37"/>
      <c r="Z6" s="36"/>
      <c r="AA6" s="36"/>
      <c r="AB6" s="31"/>
      <c r="AC6" s="31"/>
      <c r="AD6" s="31"/>
      <c r="AE6" s="31"/>
    </row>
    <row r="7" spans="1:31" ht="12.75">
      <c r="A7" s="53"/>
      <c r="B7" s="31"/>
      <c r="C7" s="31"/>
      <c r="D7" s="31"/>
      <c r="E7" s="31"/>
      <c r="F7" s="49"/>
      <c r="G7" s="49"/>
      <c r="H7" s="49"/>
      <c r="I7" s="43"/>
      <c r="J7" s="49" t="s">
        <v>16</v>
      </c>
      <c r="K7" s="49"/>
      <c r="L7" s="54"/>
      <c r="M7" s="50"/>
      <c r="N7" s="55" t="s">
        <v>5</v>
      </c>
      <c r="O7" s="56"/>
      <c r="P7" s="32"/>
      <c r="Q7" s="35"/>
      <c r="R7" s="31"/>
      <c r="S7" s="31"/>
      <c r="T7" s="36"/>
      <c r="U7" s="36"/>
      <c r="V7" s="31"/>
      <c r="W7" s="36"/>
      <c r="X7" s="36"/>
      <c r="Y7" s="37"/>
      <c r="Z7" s="36"/>
      <c r="AA7" s="36"/>
      <c r="AB7" s="31"/>
      <c r="AC7" s="31"/>
      <c r="AD7" s="31"/>
      <c r="AE7" s="31"/>
    </row>
    <row r="8" spans="1:31" ht="12.75">
      <c r="A8" s="53"/>
      <c r="B8" s="31"/>
      <c r="C8" s="31"/>
      <c r="D8" s="31"/>
      <c r="E8" s="31"/>
      <c r="F8" s="31"/>
      <c r="G8" s="43"/>
      <c r="H8" s="43"/>
      <c r="I8" s="43"/>
      <c r="J8" s="49" t="s">
        <v>48</v>
      </c>
      <c r="K8" s="45"/>
      <c r="L8" s="45"/>
      <c r="M8" s="50"/>
      <c r="N8" s="36"/>
      <c r="O8" s="31"/>
      <c r="P8" s="35"/>
      <c r="Q8" s="35"/>
      <c r="R8" s="36"/>
      <c r="S8" s="36"/>
      <c r="T8" s="36"/>
      <c r="U8" s="36"/>
      <c r="V8" s="31"/>
      <c r="W8" s="36"/>
      <c r="X8" s="36"/>
      <c r="Y8" s="37"/>
      <c r="Z8" s="36"/>
      <c r="AA8" s="36"/>
      <c r="AB8" s="31"/>
      <c r="AC8" s="31"/>
      <c r="AD8" s="31"/>
      <c r="AE8" s="31"/>
    </row>
    <row r="9" spans="1:31" ht="12.75">
      <c r="A9" s="57"/>
      <c r="B9" s="58"/>
      <c r="C9" s="58"/>
      <c r="D9" s="58"/>
      <c r="E9" s="59" t="s">
        <v>53</v>
      </c>
      <c r="F9" s="60"/>
      <c r="G9" s="60"/>
      <c r="H9" s="60"/>
      <c r="I9" s="45"/>
      <c r="J9" s="61"/>
      <c r="K9" s="45"/>
      <c r="L9" s="45"/>
      <c r="M9" s="62"/>
      <c r="N9" s="63"/>
      <c r="O9" s="31"/>
      <c r="P9" s="64"/>
      <c r="Q9" s="64"/>
      <c r="R9" s="63"/>
      <c r="S9" s="63"/>
      <c r="T9" s="63"/>
      <c r="U9" s="63"/>
      <c r="V9" s="63"/>
      <c r="W9" s="63"/>
      <c r="X9" s="63"/>
      <c r="Y9" s="65"/>
      <c r="Z9" s="63"/>
      <c r="AA9" s="63"/>
      <c r="AB9" s="31"/>
      <c r="AC9" s="31"/>
      <c r="AD9" s="31"/>
      <c r="AE9" s="31"/>
    </row>
    <row r="10" spans="1:31" ht="21.75">
      <c r="A10" s="4" t="s">
        <v>0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12" t="s">
        <v>3</v>
      </c>
      <c r="H10" s="4" t="s">
        <v>2</v>
      </c>
      <c r="I10" s="4" t="s">
        <v>2</v>
      </c>
      <c r="J10" s="4" t="s">
        <v>2</v>
      </c>
      <c r="K10" s="4" t="s">
        <v>1</v>
      </c>
      <c r="L10" s="4" t="s">
        <v>1</v>
      </c>
      <c r="M10" s="4" t="s">
        <v>3</v>
      </c>
      <c r="N10" s="12" t="s">
        <v>3</v>
      </c>
      <c r="O10" s="4" t="s">
        <v>3</v>
      </c>
      <c r="P10" s="5" t="s">
        <v>3</v>
      </c>
      <c r="Q10" s="5" t="s">
        <v>4</v>
      </c>
      <c r="R10" s="4" t="s">
        <v>3</v>
      </c>
      <c r="S10" s="4"/>
      <c r="T10" s="4"/>
      <c r="U10" s="4"/>
      <c r="V10" s="4"/>
      <c r="W10" s="4"/>
      <c r="X10" s="4"/>
      <c r="Y10" s="9"/>
      <c r="Z10" s="4"/>
      <c r="AA10" s="4"/>
      <c r="AB10" s="4"/>
      <c r="AC10" s="4"/>
      <c r="AD10" s="4"/>
      <c r="AE10" s="31"/>
    </row>
    <row r="11" spans="1:31" ht="43.5">
      <c r="A11" s="14" t="s">
        <v>9</v>
      </c>
      <c r="B11" s="14" t="s">
        <v>31</v>
      </c>
      <c r="C11" s="14" t="s">
        <v>33</v>
      </c>
      <c r="D11" s="14" t="s">
        <v>32</v>
      </c>
      <c r="E11" s="14" t="s">
        <v>34</v>
      </c>
      <c r="F11" s="14" t="s">
        <v>40</v>
      </c>
      <c r="G11" s="15" t="s">
        <v>30</v>
      </c>
      <c r="H11" s="14" t="s">
        <v>44</v>
      </c>
      <c r="I11" s="14" t="s">
        <v>45</v>
      </c>
      <c r="J11" s="14" t="s">
        <v>26</v>
      </c>
      <c r="K11" s="14" t="s">
        <v>42</v>
      </c>
      <c r="L11" s="14" t="s">
        <v>27</v>
      </c>
      <c r="M11" s="14" t="s">
        <v>43</v>
      </c>
      <c r="N11" s="15" t="s">
        <v>46</v>
      </c>
      <c r="O11" s="14" t="s">
        <v>49</v>
      </c>
      <c r="P11" s="16" t="s">
        <v>17</v>
      </c>
      <c r="Q11" s="17" t="s">
        <v>28</v>
      </c>
      <c r="R11" s="17" t="s">
        <v>29</v>
      </c>
      <c r="S11" s="18" t="s">
        <v>47</v>
      </c>
      <c r="T11" s="19" t="s">
        <v>25</v>
      </c>
      <c r="U11" s="19" t="s">
        <v>10</v>
      </c>
      <c r="V11" s="19" t="s">
        <v>11</v>
      </c>
      <c r="W11" s="19" t="s">
        <v>13</v>
      </c>
      <c r="X11" s="19" t="s">
        <v>12</v>
      </c>
      <c r="Y11" s="19" t="s">
        <v>14</v>
      </c>
      <c r="Z11" s="20" t="s">
        <v>21</v>
      </c>
      <c r="AA11" s="21" t="s">
        <v>24</v>
      </c>
      <c r="AB11" s="22" t="s">
        <v>23</v>
      </c>
      <c r="AC11" s="23" t="s">
        <v>19</v>
      </c>
      <c r="AD11" s="23" t="s">
        <v>18</v>
      </c>
      <c r="AE11" s="24" t="s">
        <v>22</v>
      </c>
    </row>
    <row r="12" spans="1:34" ht="12.75">
      <c r="A12" s="1" t="s">
        <v>50</v>
      </c>
      <c r="B12" s="2">
        <v>20</v>
      </c>
      <c r="C12" s="2">
        <v>30</v>
      </c>
      <c r="D12" s="2">
        <v>40</v>
      </c>
      <c r="E12" s="27">
        <v>42</v>
      </c>
      <c r="F12" s="25">
        <v>45</v>
      </c>
      <c r="G12" s="13">
        <f aca="true" t="shared" si="0" ref="G12:G19">IF($E$9="yes",(E12),IF($E$9="no",(45/$Q$4*F12)))</f>
        <v>42</v>
      </c>
      <c r="H12" s="2">
        <v>1.9</v>
      </c>
      <c r="I12" s="2">
        <v>7.9</v>
      </c>
      <c r="J12" s="26">
        <v>2.28</v>
      </c>
      <c r="K12" s="11">
        <v>0</v>
      </c>
      <c r="L12" s="10">
        <v>6</v>
      </c>
      <c r="M12" s="72">
        <f>(100-(B12+(D12-H12)+I12+J12))</f>
        <v>31.72</v>
      </c>
      <c r="N12" s="68">
        <f>((0.93*B12)+(0.97*(J12-1)*2.25)+(M12*0.98)+((D12-H12)*(G12/100)))-7</f>
        <v>61.4812</v>
      </c>
      <c r="O12" s="73">
        <f>(((0.93*B12)+(0.97*(J12-1)*2.25)+(M12*0.98)+((D12-H12)*(F12/100)))-7)*S12/1.23</f>
        <v>152.7419512195122</v>
      </c>
      <c r="P12" s="74">
        <f>1.2/(D12*0.01)*(0.889-0.00779*C12)/1.29*100</f>
        <v>152.3953488372093</v>
      </c>
      <c r="Q12" s="75">
        <f aca="true" t="shared" si="1" ref="Q12:Q19">(AB12/X12)*2000</f>
        <v>2901.497741031499</v>
      </c>
      <c r="R12" s="73">
        <f aca="true" t="shared" si="2" ref="R12:R19">Q12*L12</f>
        <v>17408.986446188996</v>
      </c>
      <c r="S12" s="76">
        <f>120/D12+(F12-45)*0.374/1350*100</f>
        <v>3</v>
      </c>
      <c r="T12" s="77">
        <f aca="true" t="shared" si="3" ref="T12:T19">((N12*0.0245)-0.12)/2.2</f>
        <v>0.6301315454545453</v>
      </c>
      <c r="U12" s="78">
        <f aca="true" t="shared" si="4" ref="U12:U32">(0.0115*1350)/0.3</f>
        <v>51.75</v>
      </c>
      <c r="V12" s="78">
        <f>(0.0086*1350)/(D12/100)</f>
        <v>29.025</v>
      </c>
      <c r="W12" s="78">
        <f>((F12-(45+(K12*12)))*0.374)+U12</f>
        <v>51.75</v>
      </c>
      <c r="X12" s="78">
        <f>((F12-(45+(K12*12)))*0.374)+V12</f>
        <v>29.025</v>
      </c>
      <c r="Y12" s="78">
        <f aca="true" t="shared" si="5" ref="Y12:Y19">(X12/W12)</f>
        <v>0.5608695652173913</v>
      </c>
      <c r="Z12" s="79">
        <f>(45/$Q$4)*F12</f>
        <v>43.54838709677419</v>
      </c>
      <c r="AA12" s="78">
        <f>(((((N12-((D12-H12)*(Z12/100))+((((((45+(K12*12)-Z12)*0.374)*1.83)+Z12)/100)*(D12-H12)))*0.044)+0.207)*0.6741)-0.5656)/2.2</f>
        <v>0.6403286312335243</v>
      </c>
      <c r="AB12" s="80">
        <f aca="true" t="shared" si="6" ref="AB12:AB19">((X12*AA12)-(0.08*(613.64^0.75)*Y12))/0.31</f>
        <v>42.10798596671963</v>
      </c>
      <c r="AC12" s="81">
        <f>IF(B12&gt;16,16,B12)</f>
        <v>16</v>
      </c>
      <c r="AD12" s="81">
        <f>(0.87*B12)+(0.97*(J12-1)*2.25)+(M12*0.98)+((D12-H12)*(22.7+0.764*F12))/100-10</f>
        <v>63.02668</v>
      </c>
      <c r="AE12" s="82">
        <f>-2.318+0.442*AC12-0.01*AC12*AC12-0.0638*AD12+(0.000922*AD12*AD12)+0.18*C12-(0.00196*C12*C12)-(0.00529*AC12*C12)</f>
        <v>2.9322159412602513</v>
      </c>
      <c r="AH12" s="6"/>
    </row>
    <row r="13" spans="1:31" ht="12.75">
      <c r="A13" s="66" t="s">
        <v>51</v>
      </c>
      <c r="B13" s="40">
        <v>20</v>
      </c>
      <c r="C13" s="40">
        <v>40</v>
      </c>
      <c r="D13" s="40">
        <v>50</v>
      </c>
      <c r="E13" s="83">
        <v>42</v>
      </c>
      <c r="F13" s="67">
        <v>40</v>
      </c>
      <c r="G13" s="68">
        <f t="shared" si="0"/>
        <v>42</v>
      </c>
      <c r="H13" s="40">
        <v>1.9</v>
      </c>
      <c r="I13" s="40">
        <v>7.9</v>
      </c>
      <c r="J13" s="69">
        <v>2.28</v>
      </c>
      <c r="K13" s="70">
        <v>0</v>
      </c>
      <c r="L13" s="71">
        <v>6</v>
      </c>
      <c r="M13" s="72">
        <f aca="true" t="shared" si="7" ref="M13:M19">(100-(B13+(D13-H13)+I13+J13))</f>
        <v>21.72</v>
      </c>
      <c r="N13" s="68">
        <f aca="true" t="shared" si="8" ref="N13:N19">((0.93*B13)+(0.97*(J13-1)*2.25)+(M13*0.98)+((D13-H13)*(G13/100)))-7</f>
        <v>55.88119999999999</v>
      </c>
      <c r="O13" s="73">
        <f aca="true" t="shared" si="9" ref="O13:O32">(((0.93*B13)+(0.97*(J13-1)*2.25)+(M13*0.98)+((D13-H13)*(F13/100)))-7)*S13/1.23</f>
        <v>100.97459656729899</v>
      </c>
      <c r="P13" s="74">
        <f aca="true" t="shared" si="10" ref="P13:P19">1.2/(D13*0.01)*(0.889-0.00779*C13)/1.29*100</f>
        <v>107.42325581395349</v>
      </c>
      <c r="Q13" s="75">
        <f t="shared" si="1"/>
        <v>2515.5023255649617</v>
      </c>
      <c r="R13" s="73">
        <f t="shared" si="2"/>
        <v>15093.01395338977</v>
      </c>
      <c r="S13" s="76">
        <f aca="true" t="shared" si="11" ref="S13:S19">120/D13+(F13-45)*0.374/1350*100</f>
        <v>2.261481481481481</v>
      </c>
      <c r="T13" s="77">
        <f t="shared" si="3"/>
        <v>0.567767909090909</v>
      </c>
      <c r="U13" s="78">
        <f t="shared" si="4"/>
        <v>51.75</v>
      </c>
      <c r="V13" s="78">
        <f aca="true" t="shared" si="12" ref="V13:V19">(0.0086*1350)/(D13/100)</f>
        <v>23.22</v>
      </c>
      <c r="W13" s="78">
        <f aca="true" t="shared" si="13" ref="W13:W19">((F13-(45+(K13*12)))*0.374)+U13</f>
        <v>49.88</v>
      </c>
      <c r="X13" s="78">
        <f aca="true" t="shared" si="14" ref="X13:X19">((F13-(45+(K13*12)))*0.374)+V13</f>
        <v>21.349999999999998</v>
      </c>
      <c r="Y13" s="78">
        <f t="shared" si="5"/>
        <v>0.42802726543704883</v>
      </c>
      <c r="Z13" s="79">
        <f>(45/$Q$4)*F13</f>
        <v>38.70967741935484</v>
      </c>
      <c r="AA13" s="78">
        <f aca="true" t="shared" si="15" ref="AA13:AA19">(((((N13-((D13-H13)*(Z13/100))+((((((45+(K13*12)-Z13)*0.374)*1.83)+Z13)/100)*(D13-H13)))*0.044)+0.207)*0.6741)-0.5656)/2.2</f>
        <v>0.5876447993375885</v>
      </c>
      <c r="AB13" s="80">
        <f t="shared" si="6"/>
        <v>26.852987325405962</v>
      </c>
      <c r="AC13" s="81">
        <f aca="true" t="shared" si="16" ref="AC13:AC19">IF(B13&gt;16,16,B13)</f>
        <v>16</v>
      </c>
      <c r="AD13" s="81">
        <f aca="true" t="shared" si="17" ref="AD13:AD19">(0.87*B13)+(0.97*(J13-1)*2.25)+(M13*0.98)+((D13-H13)*(22.7+0.764*F13))/100-10</f>
        <v>57.09725999999999</v>
      </c>
      <c r="AE13" s="82">
        <f aca="true" t="shared" si="18" ref="AE13:AE19">-2.318+0.442*AC13-0.01*AC13*AC13-0.0638*AD13+(0.000922*AD13*AD13)+0.18*C13-(0.00196*C13*C13)-(0.00529*AC13*C13)</f>
        <v>2.2354043377460053</v>
      </c>
    </row>
    <row r="14" spans="1:33" ht="15.75">
      <c r="A14" s="66" t="s">
        <v>52</v>
      </c>
      <c r="B14" s="40">
        <v>15</v>
      </c>
      <c r="C14" s="40">
        <v>30</v>
      </c>
      <c r="D14" s="40">
        <v>53</v>
      </c>
      <c r="E14" s="83">
        <v>44</v>
      </c>
      <c r="F14" s="67">
        <v>60</v>
      </c>
      <c r="G14" s="68">
        <f>IF($E$9="yes",(E14),IF($E$9="no",(45/$Q$4*F14)))</f>
        <v>44</v>
      </c>
      <c r="H14" s="40">
        <v>1.9</v>
      </c>
      <c r="I14" s="40">
        <v>7.9</v>
      </c>
      <c r="J14" s="69">
        <v>2.28</v>
      </c>
      <c r="K14" s="70">
        <v>1</v>
      </c>
      <c r="L14" s="71">
        <v>4</v>
      </c>
      <c r="M14" s="72">
        <f t="shared" si="7"/>
        <v>23.72</v>
      </c>
      <c r="N14" s="68">
        <f t="shared" si="8"/>
        <v>55.4732</v>
      </c>
      <c r="O14" s="73">
        <f t="shared" si="9"/>
        <v>138.66762186429412</v>
      </c>
      <c r="P14" s="74">
        <f t="shared" si="10"/>
        <v>115.01535761298814</v>
      </c>
      <c r="Q14" s="75">
        <f t="shared" si="1"/>
        <v>2339.704855192041</v>
      </c>
      <c r="R14" s="73">
        <f t="shared" si="2"/>
        <v>9358.819420768164</v>
      </c>
      <c r="S14" s="76">
        <f t="shared" si="11"/>
        <v>2.679706498951782</v>
      </c>
      <c r="T14" s="77">
        <f t="shared" si="3"/>
        <v>0.5632242727272728</v>
      </c>
      <c r="U14" s="78">
        <f t="shared" si="4"/>
        <v>51.75</v>
      </c>
      <c r="V14" s="78">
        <f t="shared" si="12"/>
        <v>21.905660377358487</v>
      </c>
      <c r="W14" s="78">
        <f t="shared" si="13"/>
        <v>52.872</v>
      </c>
      <c r="X14" s="78">
        <f t="shared" si="14"/>
        <v>23.027660377358487</v>
      </c>
      <c r="Y14" s="78">
        <f t="shared" si="5"/>
        <v>0.4355360186366789</v>
      </c>
      <c r="Z14" s="79">
        <f aca="true" t="shared" si="19" ref="Z14:Z19">(45/$Q$4)*F14</f>
        <v>58.064516129032256</v>
      </c>
      <c r="AA14" s="78">
        <f t="shared" si="15"/>
        <v>0.5492060741443785</v>
      </c>
      <c r="AB14" s="80">
        <f t="shared" si="6"/>
        <v>26.93896439430952</v>
      </c>
      <c r="AC14" s="81">
        <f t="shared" si="16"/>
        <v>15</v>
      </c>
      <c r="AD14" s="81">
        <f t="shared" si="17"/>
        <v>64.11314</v>
      </c>
      <c r="AE14" s="82">
        <f t="shared" si="18"/>
        <v>3.0169578004481505</v>
      </c>
      <c r="AG14" s="7"/>
    </row>
    <row r="15" spans="1:31" ht="12.75">
      <c r="A15" s="1"/>
      <c r="B15" s="2"/>
      <c r="C15" s="2"/>
      <c r="D15" s="2"/>
      <c r="E15" s="84"/>
      <c r="F15" s="25"/>
      <c r="G15" s="68">
        <f t="shared" si="0"/>
        <v>0</v>
      </c>
      <c r="H15" s="40">
        <v>1.9</v>
      </c>
      <c r="I15" s="40">
        <v>7.9</v>
      </c>
      <c r="J15" s="69">
        <v>2.28</v>
      </c>
      <c r="K15" s="11"/>
      <c r="L15" s="10"/>
      <c r="M15" s="72">
        <f t="shared" si="7"/>
        <v>91.72</v>
      </c>
      <c r="N15" s="68">
        <f t="shared" si="8"/>
        <v>85.6792</v>
      </c>
      <c r="O15" s="73" t="e">
        <f t="shared" si="9"/>
        <v>#DIV/0!</v>
      </c>
      <c r="P15" s="74" t="e">
        <f t="shared" si="10"/>
        <v>#DIV/0!</v>
      </c>
      <c r="Q15" s="75" t="e">
        <f t="shared" si="1"/>
        <v>#DIV/0!</v>
      </c>
      <c r="R15" s="73" t="e">
        <f t="shared" si="2"/>
        <v>#DIV/0!</v>
      </c>
      <c r="S15" s="76" t="e">
        <f t="shared" si="11"/>
        <v>#DIV/0!</v>
      </c>
      <c r="T15" s="77">
        <f t="shared" si="3"/>
        <v>0.8996092727272726</v>
      </c>
      <c r="U15" s="78">
        <f t="shared" si="4"/>
        <v>51.75</v>
      </c>
      <c r="V15" s="78" t="e">
        <f t="shared" si="12"/>
        <v>#DIV/0!</v>
      </c>
      <c r="W15" s="78">
        <f t="shared" si="13"/>
        <v>34.92</v>
      </c>
      <c r="X15" s="78" t="e">
        <f t="shared" si="14"/>
        <v>#DIV/0!</v>
      </c>
      <c r="Y15" s="78" t="e">
        <f t="shared" si="5"/>
        <v>#DIV/0!</v>
      </c>
      <c r="Z15" s="79">
        <f t="shared" si="19"/>
        <v>0</v>
      </c>
      <c r="AA15" s="78">
        <f t="shared" si="15"/>
        <v>0.9535733625010726</v>
      </c>
      <c r="AB15" s="80" t="e">
        <f t="shared" si="6"/>
        <v>#DIV/0!</v>
      </c>
      <c r="AC15" s="81">
        <f t="shared" si="16"/>
        <v>0</v>
      </c>
      <c r="AD15" s="81">
        <f t="shared" si="17"/>
        <v>82.2479</v>
      </c>
      <c r="AE15" s="82">
        <f t="shared" si="18"/>
        <v>-1.3283468958339784</v>
      </c>
    </row>
    <row r="16" spans="1:31" ht="12.75">
      <c r="A16" s="1"/>
      <c r="B16" s="2"/>
      <c r="C16" s="2"/>
      <c r="D16" s="2"/>
      <c r="E16" s="84"/>
      <c r="F16" s="25"/>
      <c r="G16" s="68">
        <f t="shared" si="0"/>
        <v>0</v>
      </c>
      <c r="H16" s="40">
        <v>1.9</v>
      </c>
      <c r="I16" s="40">
        <v>7.9</v>
      </c>
      <c r="J16" s="69">
        <v>2.28</v>
      </c>
      <c r="K16" s="11"/>
      <c r="L16" s="10"/>
      <c r="M16" s="72">
        <f t="shared" si="7"/>
        <v>91.72</v>
      </c>
      <c r="N16" s="68">
        <f t="shared" si="8"/>
        <v>85.6792</v>
      </c>
      <c r="O16" s="73" t="e">
        <f t="shared" si="9"/>
        <v>#DIV/0!</v>
      </c>
      <c r="P16" s="74" t="e">
        <f t="shared" si="10"/>
        <v>#DIV/0!</v>
      </c>
      <c r="Q16" s="75" t="e">
        <f t="shared" si="1"/>
        <v>#DIV/0!</v>
      </c>
      <c r="R16" s="73" t="e">
        <f t="shared" si="2"/>
        <v>#DIV/0!</v>
      </c>
      <c r="S16" s="76" t="e">
        <f t="shared" si="11"/>
        <v>#DIV/0!</v>
      </c>
      <c r="T16" s="77">
        <f t="shared" si="3"/>
        <v>0.8996092727272726</v>
      </c>
      <c r="U16" s="78">
        <f t="shared" si="4"/>
        <v>51.75</v>
      </c>
      <c r="V16" s="78" t="e">
        <f t="shared" si="12"/>
        <v>#DIV/0!</v>
      </c>
      <c r="W16" s="78">
        <f t="shared" si="13"/>
        <v>34.92</v>
      </c>
      <c r="X16" s="78" t="e">
        <f t="shared" si="14"/>
        <v>#DIV/0!</v>
      </c>
      <c r="Y16" s="78" t="e">
        <f t="shared" si="5"/>
        <v>#DIV/0!</v>
      </c>
      <c r="Z16" s="79">
        <f t="shared" si="19"/>
        <v>0</v>
      </c>
      <c r="AA16" s="78">
        <f t="shared" si="15"/>
        <v>0.9535733625010726</v>
      </c>
      <c r="AB16" s="80" t="e">
        <f t="shared" si="6"/>
        <v>#DIV/0!</v>
      </c>
      <c r="AC16" s="81">
        <f t="shared" si="16"/>
        <v>0</v>
      </c>
      <c r="AD16" s="81">
        <f t="shared" si="17"/>
        <v>82.2479</v>
      </c>
      <c r="AE16" s="82">
        <f t="shared" si="18"/>
        <v>-1.3283468958339784</v>
      </c>
    </row>
    <row r="17" spans="1:31" ht="12.75">
      <c r="A17" s="1"/>
      <c r="B17" s="2"/>
      <c r="C17" s="2"/>
      <c r="D17" s="2"/>
      <c r="E17" s="84"/>
      <c r="F17" s="25"/>
      <c r="G17" s="68">
        <f t="shared" si="0"/>
        <v>0</v>
      </c>
      <c r="H17" s="40">
        <v>1.9</v>
      </c>
      <c r="I17" s="40">
        <v>7.9</v>
      </c>
      <c r="J17" s="69">
        <v>2.28</v>
      </c>
      <c r="K17" s="11"/>
      <c r="L17" s="10"/>
      <c r="M17" s="72">
        <f t="shared" si="7"/>
        <v>91.72</v>
      </c>
      <c r="N17" s="68">
        <f t="shared" si="8"/>
        <v>85.6792</v>
      </c>
      <c r="O17" s="73" t="e">
        <f t="shared" si="9"/>
        <v>#DIV/0!</v>
      </c>
      <c r="P17" s="74" t="e">
        <f t="shared" si="10"/>
        <v>#DIV/0!</v>
      </c>
      <c r="Q17" s="75" t="e">
        <f t="shared" si="1"/>
        <v>#DIV/0!</v>
      </c>
      <c r="R17" s="73" t="e">
        <f t="shared" si="2"/>
        <v>#DIV/0!</v>
      </c>
      <c r="S17" s="76" t="e">
        <f t="shared" si="11"/>
        <v>#DIV/0!</v>
      </c>
      <c r="T17" s="77">
        <f t="shared" si="3"/>
        <v>0.8996092727272726</v>
      </c>
      <c r="U17" s="78">
        <f t="shared" si="4"/>
        <v>51.75</v>
      </c>
      <c r="V17" s="78" t="e">
        <f t="shared" si="12"/>
        <v>#DIV/0!</v>
      </c>
      <c r="W17" s="78">
        <f t="shared" si="13"/>
        <v>34.92</v>
      </c>
      <c r="X17" s="78" t="e">
        <f t="shared" si="14"/>
        <v>#DIV/0!</v>
      </c>
      <c r="Y17" s="78" t="e">
        <f t="shared" si="5"/>
        <v>#DIV/0!</v>
      </c>
      <c r="Z17" s="79">
        <f t="shared" si="19"/>
        <v>0</v>
      </c>
      <c r="AA17" s="78">
        <f t="shared" si="15"/>
        <v>0.9535733625010726</v>
      </c>
      <c r="AB17" s="80" t="e">
        <f t="shared" si="6"/>
        <v>#DIV/0!</v>
      </c>
      <c r="AC17" s="81">
        <f t="shared" si="16"/>
        <v>0</v>
      </c>
      <c r="AD17" s="81">
        <f t="shared" si="17"/>
        <v>82.2479</v>
      </c>
      <c r="AE17" s="82">
        <f t="shared" si="18"/>
        <v>-1.3283468958339784</v>
      </c>
    </row>
    <row r="18" spans="1:31" ht="12.75">
      <c r="A18" s="1"/>
      <c r="B18" s="2"/>
      <c r="C18" s="2"/>
      <c r="D18" s="2"/>
      <c r="E18" s="84"/>
      <c r="F18" s="25"/>
      <c r="G18" s="68">
        <f t="shared" si="0"/>
        <v>0</v>
      </c>
      <c r="H18" s="40">
        <v>1.9</v>
      </c>
      <c r="I18" s="40">
        <v>7.9</v>
      </c>
      <c r="J18" s="69">
        <v>2.28</v>
      </c>
      <c r="K18" s="11"/>
      <c r="L18" s="10"/>
      <c r="M18" s="72">
        <f t="shared" si="7"/>
        <v>91.72</v>
      </c>
      <c r="N18" s="68">
        <f t="shared" si="8"/>
        <v>85.6792</v>
      </c>
      <c r="O18" s="73" t="e">
        <f t="shared" si="9"/>
        <v>#DIV/0!</v>
      </c>
      <c r="P18" s="74" t="e">
        <f t="shared" si="10"/>
        <v>#DIV/0!</v>
      </c>
      <c r="Q18" s="75" t="e">
        <f t="shared" si="1"/>
        <v>#DIV/0!</v>
      </c>
      <c r="R18" s="73" t="e">
        <f t="shared" si="2"/>
        <v>#DIV/0!</v>
      </c>
      <c r="S18" s="76" t="e">
        <f t="shared" si="11"/>
        <v>#DIV/0!</v>
      </c>
      <c r="T18" s="77">
        <f t="shared" si="3"/>
        <v>0.8996092727272726</v>
      </c>
      <c r="U18" s="78">
        <f t="shared" si="4"/>
        <v>51.75</v>
      </c>
      <c r="V18" s="78" t="e">
        <f t="shared" si="12"/>
        <v>#DIV/0!</v>
      </c>
      <c r="W18" s="78">
        <f t="shared" si="13"/>
        <v>34.92</v>
      </c>
      <c r="X18" s="78" t="e">
        <f t="shared" si="14"/>
        <v>#DIV/0!</v>
      </c>
      <c r="Y18" s="78" t="e">
        <f t="shared" si="5"/>
        <v>#DIV/0!</v>
      </c>
      <c r="Z18" s="79">
        <f t="shared" si="19"/>
        <v>0</v>
      </c>
      <c r="AA18" s="78">
        <f t="shared" si="15"/>
        <v>0.9535733625010726</v>
      </c>
      <c r="AB18" s="80" t="e">
        <f t="shared" si="6"/>
        <v>#DIV/0!</v>
      </c>
      <c r="AC18" s="81">
        <f t="shared" si="16"/>
        <v>0</v>
      </c>
      <c r="AD18" s="81">
        <f t="shared" si="17"/>
        <v>82.2479</v>
      </c>
      <c r="AE18" s="82">
        <f t="shared" si="18"/>
        <v>-1.3283468958339784</v>
      </c>
    </row>
    <row r="19" spans="1:31" ht="12.75">
      <c r="A19" s="1"/>
      <c r="B19" s="2"/>
      <c r="C19" s="2"/>
      <c r="D19" s="2"/>
      <c r="E19" s="84"/>
      <c r="F19" s="25"/>
      <c r="G19" s="68">
        <f t="shared" si="0"/>
        <v>0</v>
      </c>
      <c r="H19" s="40">
        <v>1.9</v>
      </c>
      <c r="I19" s="40">
        <v>7.9</v>
      </c>
      <c r="J19" s="69">
        <v>2.28</v>
      </c>
      <c r="K19" s="11"/>
      <c r="L19" s="10"/>
      <c r="M19" s="72">
        <f t="shared" si="7"/>
        <v>91.72</v>
      </c>
      <c r="N19" s="68">
        <f t="shared" si="8"/>
        <v>85.6792</v>
      </c>
      <c r="O19" s="73" t="e">
        <f t="shared" si="9"/>
        <v>#DIV/0!</v>
      </c>
      <c r="P19" s="74" t="e">
        <f t="shared" si="10"/>
        <v>#DIV/0!</v>
      </c>
      <c r="Q19" s="75" t="e">
        <f t="shared" si="1"/>
        <v>#DIV/0!</v>
      </c>
      <c r="R19" s="73" t="e">
        <f t="shared" si="2"/>
        <v>#DIV/0!</v>
      </c>
      <c r="S19" s="76" t="e">
        <f t="shared" si="11"/>
        <v>#DIV/0!</v>
      </c>
      <c r="T19" s="77">
        <f t="shared" si="3"/>
        <v>0.8996092727272726</v>
      </c>
      <c r="U19" s="78">
        <f t="shared" si="4"/>
        <v>51.75</v>
      </c>
      <c r="V19" s="78" t="e">
        <f t="shared" si="12"/>
        <v>#DIV/0!</v>
      </c>
      <c r="W19" s="78">
        <f t="shared" si="13"/>
        <v>34.92</v>
      </c>
      <c r="X19" s="78" t="e">
        <f t="shared" si="14"/>
        <v>#DIV/0!</v>
      </c>
      <c r="Y19" s="78" t="e">
        <f t="shared" si="5"/>
        <v>#DIV/0!</v>
      </c>
      <c r="Z19" s="79">
        <f t="shared" si="19"/>
        <v>0</v>
      </c>
      <c r="AA19" s="78">
        <f t="shared" si="15"/>
        <v>0.9535733625010726</v>
      </c>
      <c r="AB19" s="80" t="e">
        <f t="shared" si="6"/>
        <v>#DIV/0!</v>
      </c>
      <c r="AC19" s="81">
        <f t="shared" si="16"/>
        <v>0</v>
      </c>
      <c r="AD19" s="81">
        <f t="shared" si="17"/>
        <v>82.2479</v>
      </c>
      <c r="AE19" s="82">
        <f t="shared" si="18"/>
        <v>-1.3283468958339784</v>
      </c>
    </row>
    <row r="20" spans="1:31" ht="12.75">
      <c r="A20" s="1"/>
      <c r="B20" s="2"/>
      <c r="C20" s="2"/>
      <c r="D20" s="2"/>
      <c r="E20" s="84"/>
      <c r="F20" s="25"/>
      <c r="G20" s="68">
        <f aca="true" t="shared" si="20" ref="G20:G32">IF($E$9="yes",(E20),IF($E$9="no",(45/$Q$4*F20)))</f>
        <v>0</v>
      </c>
      <c r="H20" s="40">
        <v>1.9</v>
      </c>
      <c r="I20" s="40">
        <v>7.9</v>
      </c>
      <c r="J20" s="69">
        <v>2.28</v>
      </c>
      <c r="K20" s="11"/>
      <c r="L20" s="10"/>
      <c r="M20" s="72">
        <f aca="true" t="shared" si="21" ref="M20:M32">(100-(B20+(D20-H20)+I20+J20))</f>
        <v>91.72</v>
      </c>
      <c r="N20" s="68">
        <f aca="true" t="shared" si="22" ref="N20:N32">((0.93*B20)+(0.97*(J20-1)*2.25)+(M20*0.98)+((D20-H20)*(G20/100)))-7</f>
        <v>85.6792</v>
      </c>
      <c r="O20" s="73" t="e">
        <f t="shared" si="9"/>
        <v>#DIV/0!</v>
      </c>
      <c r="P20" s="74" t="e">
        <f aca="true" t="shared" si="23" ref="P20:P32">1.2/(D20*0.01)*(0.889-0.00779*C20)/1.29*100</f>
        <v>#DIV/0!</v>
      </c>
      <c r="Q20" s="75" t="e">
        <f aca="true" t="shared" si="24" ref="Q20:Q32">(AB20/X20)*2000</f>
        <v>#DIV/0!</v>
      </c>
      <c r="R20" s="73" t="e">
        <f aca="true" t="shared" si="25" ref="R20:R32">Q20*L20</f>
        <v>#DIV/0!</v>
      </c>
      <c r="S20" s="76" t="e">
        <f aca="true" t="shared" si="26" ref="S20:S32">120/D20+(F20-45)*0.374/1350*100</f>
        <v>#DIV/0!</v>
      </c>
      <c r="T20" s="77">
        <f aca="true" t="shared" si="27" ref="T20:T32">((N20*0.0245)-0.12)/2.2</f>
        <v>0.8996092727272726</v>
      </c>
      <c r="U20" s="78">
        <f t="shared" si="4"/>
        <v>51.75</v>
      </c>
      <c r="V20" s="78" t="e">
        <f aca="true" t="shared" si="28" ref="V20:V32">(0.0086*1350)/(D20/100)</f>
        <v>#DIV/0!</v>
      </c>
      <c r="W20" s="78">
        <f aca="true" t="shared" si="29" ref="W20:W32">((F20-(45+(K20*12)))*0.374)+U20</f>
        <v>34.92</v>
      </c>
      <c r="X20" s="78" t="e">
        <f aca="true" t="shared" si="30" ref="X20:X32">((F20-(45+(K20*12)))*0.374)+V20</f>
        <v>#DIV/0!</v>
      </c>
      <c r="Y20" s="78" t="e">
        <f aca="true" t="shared" si="31" ref="Y20:Y32">(X20/W20)</f>
        <v>#DIV/0!</v>
      </c>
      <c r="Z20" s="79">
        <f aca="true" t="shared" si="32" ref="Z20:Z32">(45/$Q$4)*F20</f>
        <v>0</v>
      </c>
      <c r="AA20" s="78">
        <f aca="true" t="shared" si="33" ref="AA20:AA32">(((((N20-((D20-H20)*(Z20/100))+((((((45+(K20*12)-Z20)*0.374)*1.83)+Z20)/100)*(D20-H20)))*0.044)+0.207)*0.6741)-0.5656)/2.2</f>
        <v>0.9535733625010726</v>
      </c>
      <c r="AB20" s="80" t="e">
        <f aca="true" t="shared" si="34" ref="AB20:AB32">((X20*AA20)-(0.08*(613.64^0.75)*Y20))/0.31</f>
        <v>#DIV/0!</v>
      </c>
      <c r="AC20" s="81">
        <f aca="true" t="shared" si="35" ref="AC20:AC32">IF(B20&gt;16,16,B20)</f>
        <v>0</v>
      </c>
      <c r="AD20" s="81">
        <f aca="true" t="shared" si="36" ref="AD20:AD32">(0.87*B20)+(0.97*(J20-1)*2.25)+(M20*0.98)+((D20-H20)*(22.7+0.764*F20))/100-10</f>
        <v>82.2479</v>
      </c>
      <c r="AE20" s="82">
        <f aca="true" t="shared" si="37" ref="AE20:AE32">-2.318+0.442*AC20-0.01*AC20*AC20-0.0638*AD20+(0.000922*AD20*AD20)+0.18*C20-(0.00196*C20*C20)-(0.00529*AC20*C20)</f>
        <v>-1.3283468958339784</v>
      </c>
    </row>
    <row r="21" spans="1:31" ht="12.75">
      <c r="A21" s="1"/>
      <c r="B21" s="2"/>
      <c r="C21" s="2"/>
      <c r="D21" s="2"/>
      <c r="E21" s="84"/>
      <c r="F21" s="25"/>
      <c r="G21" s="68">
        <f t="shared" si="20"/>
        <v>0</v>
      </c>
      <c r="H21" s="40">
        <v>1.9</v>
      </c>
      <c r="I21" s="40">
        <v>7.9</v>
      </c>
      <c r="J21" s="69">
        <v>2.28</v>
      </c>
      <c r="K21" s="11"/>
      <c r="L21" s="10"/>
      <c r="M21" s="72">
        <f t="shared" si="21"/>
        <v>91.72</v>
      </c>
      <c r="N21" s="68">
        <f t="shared" si="22"/>
        <v>85.6792</v>
      </c>
      <c r="O21" s="73" t="e">
        <f t="shared" si="9"/>
        <v>#DIV/0!</v>
      </c>
      <c r="P21" s="74" t="e">
        <f t="shared" si="23"/>
        <v>#DIV/0!</v>
      </c>
      <c r="Q21" s="75" t="e">
        <f t="shared" si="24"/>
        <v>#DIV/0!</v>
      </c>
      <c r="R21" s="73" t="e">
        <f t="shared" si="25"/>
        <v>#DIV/0!</v>
      </c>
      <c r="S21" s="76" t="e">
        <f t="shared" si="26"/>
        <v>#DIV/0!</v>
      </c>
      <c r="T21" s="77">
        <f t="shared" si="27"/>
        <v>0.8996092727272726</v>
      </c>
      <c r="U21" s="78">
        <f t="shared" si="4"/>
        <v>51.75</v>
      </c>
      <c r="V21" s="78" t="e">
        <f t="shared" si="28"/>
        <v>#DIV/0!</v>
      </c>
      <c r="W21" s="78">
        <f t="shared" si="29"/>
        <v>34.92</v>
      </c>
      <c r="X21" s="78" t="e">
        <f t="shared" si="30"/>
        <v>#DIV/0!</v>
      </c>
      <c r="Y21" s="78" t="e">
        <f t="shared" si="31"/>
        <v>#DIV/0!</v>
      </c>
      <c r="Z21" s="79">
        <f t="shared" si="32"/>
        <v>0</v>
      </c>
      <c r="AA21" s="78">
        <f t="shared" si="33"/>
        <v>0.9535733625010726</v>
      </c>
      <c r="AB21" s="80" t="e">
        <f t="shared" si="34"/>
        <v>#DIV/0!</v>
      </c>
      <c r="AC21" s="81">
        <f t="shared" si="35"/>
        <v>0</v>
      </c>
      <c r="AD21" s="81">
        <f t="shared" si="36"/>
        <v>82.2479</v>
      </c>
      <c r="AE21" s="82">
        <f t="shared" si="37"/>
        <v>-1.3283468958339784</v>
      </c>
    </row>
    <row r="22" spans="1:31" ht="12.75">
      <c r="A22" s="1"/>
      <c r="B22" s="2"/>
      <c r="C22" s="2"/>
      <c r="D22" s="2"/>
      <c r="E22" s="84"/>
      <c r="F22" s="25"/>
      <c r="G22" s="68">
        <f t="shared" si="20"/>
        <v>0</v>
      </c>
      <c r="H22" s="40">
        <v>1.9</v>
      </c>
      <c r="I22" s="40">
        <v>7.9</v>
      </c>
      <c r="J22" s="69">
        <v>2.28</v>
      </c>
      <c r="K22" s="11"/>
      <c r="L22" s="10"/>
      <c r="M22" s="72">
        <f t="shared" si="21"/>
        <v>91.72</v>
      </c>
      <c r="N22" s="68">
        <f t="shared" si="22"/>
        <v>85.6792</v>
      </c>
      <c r="O22" s="73" t="e">
        <f t="shared" si="9"/>
        <v>#DIV/0!</v>
      </c>
      <c r="P22" s="74" t="e">
        <f t="shared" si="23"/>
        <v>#DIV/0!</v>
      </c>
      <c r="Q22" s="75" t="e">
        <f t="shared" si="24"/>
        <v>#DIV/0!</v>
      </c>
      <c r="R22" s="73" t="e">
        <f t="shared" si="25"/>
        <v>#DIV/0!</v>
      </c>
      <c r="S22" s="76" t="e">
        <f t="shared" si="26"/>
        <v>#DIV/0!</v>
      </c>
      <c r="T22" s="77">
        <f t="shared" si="27"/>
        <v>0.8996092727272726</v>
      </c>
      <c r="U22" s="78">
        <f t="shared" si="4"/>
        <v>51.75</v>
      </c>
      <c r="V22" s="78" t="e">
        <f t="shared" si="28"/>
        <v>#DIV/0!</v>
      </c>
      <c r="W22" s="78">
        <f t="shared" si="29"/>
        <v>34.92</v>
      </c>
      <c r="X22" s="78" t="e">
        <f t="shared" si="30"/>
        <v>#DIV/0!</v>
      </c>
      <c r="Y22" s="78" t="e">
        <f t="shared" si="31"/>
        <v>#DIV/0!</v>
      </c>
      <c r="Z22" s="79">
        <f t="shared" si="32"/>
        <v>0</v>
      </c>
      <c r="AA22" s="78">
        <f t="shared" si="33"/>
        <v>0.9535733625010726</v>
      </c>
      <c r="AB22" s="80" t="e">
        <f t="shared" si="34"/>
        <v>#DIV/0!</v>
      </c>
      <c r="AC22" s="81">
        <f t="shared" si="35"/>
        <v>0</v>
      </c>
      <c r="AD22" s="81">
        <f t="shared" si="36"/>
        <v>82.2479</v>
      </c>
      <c r="AE22" s="82">
        <f t="shared" si="37"/>
        <v>-1.3283468958339784</v>
      </c>
    </row>
    <row r="23" spans="1:31" ht="12.75">
      <c r="A23" s="1"/>
      <c r="B23" s="2"/>
      <c r="C23" s="2"/>
      <c r="D23" s="2"/>
      <c r="E23" s="84"/>
      <c r="F23" s="25"/>
      <c r="G23" s="68">
        <f t="shared" si="20"/>
        <v>0</v>
      </c>
      <c r="H23" s="40">
        <v>1.9</v>
      </c>
      <c r="I23" s="40">
        <v>7.9</v>
      </c>
      <c r="J23" s="69">
        <v>2.28</v>
      </c>
      <c r="K23" s="11"/>
      <c r="L23" s="10"/>
      <c r="M23" s="72">
        <f t="shared" si="21"/>
        <v>91.72</v>
      </c>
      <c r="N23" s="68">
        <f t="shared" si="22"/>
        <v>85.6792</v>
      </c>
      <c r="O23" s="73" t="e">
        <f t="shared" si="9"/>
        <v>#DIV/0!</v>
      </c>
      <c r="P23" s="74" t="e">
        <f t="shared" si="23"/>
        <v>#DIV/0!</v>
      </c>
      <c r="Q23" s="75" t="e">
        <f t="shared" si="24"/>
        <v>#DIV/0!</v>
      </c>
      <c r="R23" s="73" t="e">
        <f t="shared" si="25"/>
        <v>#DIV/0!</v>
      </c>
      <c r="S23" s="76" t="e">
        <f t="shared" si="26"/>
        <v>#DIV/0!</v>
      </c>
      <c r="T23" s="77">
        <f t="shared" si="27"/>
        <v>0.8996092727272726</v>
      </c>
      <c r="U23" s="78">
        <f t="shared" si="4"/>
        <v>51.75</v>
      </c>
      <c r="V23" s="78" t="e">
        <f t="shared" si="28"/>
        <v>#DIV/0!</v>
      </c>
      <c r="W23" s="78">
        <f t="shared" si="29"/>
        <v>34.92</v>
      </c>
      <c r="X23" s="78" t="e">
        <f t="shared" si="30"/>
        <v>#DIV/0!</v>
      </c>
      <c r="Y23" s="78" t="e">
        <f t="shared" si="31"/>
        <v>#DIV/0!</v>
      </c>
      <c r="Z23" s="79">
        <f t="shared" si="32"/>
        <v>0</v>
      </c>
      <c r="AA23" s="78">
        <f t="shared" si="33"/>
        <v>0.9535733625010726</v>
      </c>
      <c r="AB23" s="80" t="e">
        <f t="shared" si="34"/>
        <v>#DIV/0!</v>
      </c>
      <c r="AC23" s="81">
        <f t="shared" si="35"/>
        <v>0</v>
      </c>
      <c r="AD23" s="81">
        <f t="shared" si="36"/>
        <v>82.2479</v>
      </c>
      <c r="AE23" s="82">
        <f t="shared" si="37"/>
        <v>-1.3283468958339784</v>
      </c>
    </row>
    <row r="24" spans="1:31" ht="12.75">
      <c r="A24" s="1"/>
      <c r="B24" s="2"/>
      <c r="C24" s="2"/>
      <c r="D24" s="2"/>
      <c r="E24" s="84"/>
      <c r="F24" s="25"/>
      <c r="G24" s="68">
        <f t="shared" si="20"/>
        <v>0</v>
      </c>
      <c r="H24" s="40">
        <v>1.9</v>
      </c>
      <c r="I24" s="40">
        <v>7.9</v>
      </c>
      <c r="J24" s="69">
        <v>2.28</v>
      </c>
      <c r="K24" s="11"/>
      <c r="L24" s="10"/>
      <c r="M24" s="72">
        <f t="shared" si="21"/>
        <v>91.72</v>
      </c>
      <c r="N24" s="68">
        <f t="shared" si="22"/>
        <v>85.6792</v>
      </c>
      <c r="O24" s="73" t="e">
        <f t="shared" si="9"/>
        <v>#DIV/0!</v>
      </c>
      <c r="P24" s="74" t="e">
        <f t="shared" si="23"/>
        <v>#DIV/0!</v>
      </c>
      <c r="Q24" s="75" t="e">
        <f t="shared" si="24"/>
        <v>#DIV/0!</v>
      </c>
      <c r="R24" s="73" t="e">
        <f t="shared" si="25"/>
        <v>#DIV/0!</v>
      </c>
      <c r="S24" s="76" t="e">
        <f t="shared" si="26"/>
        <v>#DIV/0!</v>
      </c>
      <c r="T24" s="77">
        <f t="shared" si="27"/>
        <v>0.8996092727272726</v>
      </c>
      <c r="U24" s="78">
        <f t="shared" si="4"/>
        <v>51.75</v>
      </c>
      <c r="V24" s="78" t="e">
        <f t="shared" si="28"/>
        <v>#DIV/0!</v>
      </c>
      <c r="W24" s="78">
        <f t="shared" si="29"/>
        <v>34.92</v>
      </c>
      <c r="X24" s="78" t="e">
        <f t="shared" si="30"/>
        <v>#DIV/0!</v>
      </c>
      <c r="Y24" s="78" t="e">
        <f t="shared" si="31"/>
        <v>#DIV/0!</v>
      </c>
      <c r="Z24" s="79">
        <f t="shared" si="32"/>
        <v>0</v>
      </c>
      <c r="AA24" s="78">
        <f t="shared" si="33"/>
        <v>0.9535733625010726</v>
      </c>
      <c r="AB24" s="80" t="e">
        <f t="shared" si="34"/>
        <v>#DIV/0!</v>
      </c>
      <c r="AC24" s="81">
        <f t="shared" si="35"/>
        <v>0</v>
      </c>
      <c r="AD24" s="81">
        <f t="shared" si="36"/>
        <v>82.2479</v>
      </c>
      <c r="AE24" s="82">
        <f t="shared" si="37"/>
        <v>-1.3283468958339784</v>
      </c>
    </row>
    <row r="25" spans="1:31" ht="12.75">
      <c r="A25" s="1"/>
      <c r="B25" s="2"/>
      <c r="C25" s="2"/>
      <c r="D25" s="2"/>
      <c r="E25" s="84"/>
      <c r="F25" s="25"/>
      <c r="G25" s="68">
        <f t="shared" si="20"/>
        <v>0</v>
      </c>
      <c r="H25" s="40">
        <v>1.9</v>
      </c>
      <c r="I25" s="40">
        <v>7.9</v>
      </c>
      <c r="J25" s="69">
        <v>2.28</v>
      </c>
      <c r="K25" s="11"/>
      <c r="L25" s="10"/>
      <c r="M25" s="72">
        <f t="shared" si="21"/>
        <v>91.72</v>
      </c>
      <c r="N25" s="68">
        <f t="shared" si="22"/>
        <v>85.6792</v>
      </c>
      <c r="O25" s="73" t="e">
        <f t="shared" si="9"/>
        <v>#DIV/0!</v>
      </c>
      <c r="P25" s="74" t="e">
        <f t="shared" si="23"/>
        <v>#DIV/0!</v>
      </c>
      <c r="Q25" s="75" t="e">
        <f t="shared" si="24"/>
        <v>#DIV/0!</v>
      </c>
      <c r="R25" s="73" t="e">
        <f t="shared" si="25"/>
        <v>#DIV/0!</v>
      </c>
      <c r="S25" s="76" t="e">
        <f t="shared" si="26"/>
        <v>#DIV/0!</v>
      </c>
      <c r="T25" s="77">
        <f t="shared" si="27"/>
        <v>0.8996092727272726</v>
      </c>
      <c r="U25" s="78">
        <f t="shared" si="4"/>
        <v>51.75</v>
      </c>
      <c r="V25" s="78" t="e">
        <f t="shared" si="28"/>
        <v>#DIV/0!</v>
      </c>
      <c r="W25" s="78">
        <f t="shared" si="29"/>
        <v>34.92</v>
      </c>
      <c r="X25" s="78" t="e">
        <f t="shared" si="30"/>
        <v>#DIV/0!</v>
      </c>
      <c r="Y25" s="78" t="e">
        <f t="shared" si="31"/>
        <v>#DIV/0!</v>
      </c>
      <c r="Z25" s="79">
        <f t="shared" si="32"/>
        <v>0</v>
      </c>
      <c r="AA25" s="78">
        <f t="shared" si="33"/>
        <v>0.9535733625010726</v>
      </c>
      <c r="AB25" s="80" t="e">
        <f t="shared" si="34"/>
        <v>#DIV/0!</v>
      </c>
      <c r="AC25" s="81">
        <f t="shared" si="35"/>
        <v>0</v>
      </c>
      <c r="AD25" s="81">
        <f t="shared" si="36"/>
        <v>82.2479</v>
      </c>
      <c r="AE25" s="82">
        <f t="shared" si="37"/>
        <v>-1.3283468958339784</v>
      </c>
    </row>
    <row r="26" spans="1:31" ht="12.75">
      <c r="A26" s="1"/>
      <c r="B26" s="2"/>
      <c r="C26" s="2"/>
      <c r="D26" s="2"/>
      <c r="E26" s="84"/>
      <c r="F26" s="25"/>
      <c r="G26" s="68">
        <f t="shared" si="20"/>
        <v>0</v>
      </c>
      <c r="H26" s="40">
        <v>1.9</v>
      </c>
      <c r="I26" s="40">
        <v>7.9</v>
      </c>
      <c r="J26" s="69">
        <v>2.28</v>
      </c>
      <c r="K26" s="11"/>
      <c r="L26" s="10"/>
      <c r="M26" s="72">
        <f t="shared" si="21"/>
        <v>91.72</v>
      </c>
      <c r="N26" s="68">
        <f t="shared" si="22"/>
        <v>85.6792</v>
      </c>
      <c r="O26" s="73" t="e">
        <f t="shared" si="9"/>
        <v>#DIV/0!</v>
      </c>
      <c r="P26" s="74" t="e">
        <f t="shared" si="23"/>
        <v>#DIV/0!</v>
      </c>
      <c r="Q26" s="75" t="e">
        <f t="shared" si="24"/>
        <v>#DIV/0!</v>
      </c>
      <c r="R26" s="73" t="e">
        <f t="shared" si="25"/>
        <v>#DIV/0!</v>
      </c>
      <c r="S26" s="76" t="e">
        <f t="shared" si="26"/>
        <v>#DIV/0!</v>
      </c>
      <c r="T26" s="77">
        <f t="shared" si="27"/>
        <v>0.8996092727272726</v>
      </c>
      <c r="U26" s="78">
        <f t="shared" si="4"/>
        <v>51.75</v>
      </c>
      <c r="V26" s="78" t="e">
        <f t="shared" si="28"/>
        <v>#DIV/0!</v>
      </c>
      <c r="W26" s="78">
        <f t="shared" si="29"/>
        <v>34.92</v>
      </c>
      <c r="X26" s="78" t="e">
        <f t="shared" si="30"/>
        <v>#DIV/0!</v>
      </c>
      <c r="Y26" s="78" t="e">
        <f t="shared" si="31"/>
        <v>#DIV/0!</v>
      </c>
      <c r="Z26" s="79">
        <f t="shared" si="32"/>
        <v>0</v>
      </c>
      <c r="AA26" s="78">
        <f t="shared" si="33"/>
        <v>0.9535733625010726</v>
      </c>
      <c r="AB26" s="80" t="e">
        <f t="shared" si="34"/>
        <v>#DIV/0!</v>
      </c>
      <c r="AC26" s="81">
        <f t="shared" si="35"/>
        <v>0</v>
      </c>
      <c r="AD26" s="81">
        <f t="shared" si="36"/>
        <v>82.2479</v>
      </c>
      <c r="AE26" s="82">
        <f t="shared" si="37"/>
        <v>-1.3283468958339784</v>
      </c>
    </row>
    <row r="27" spans="1:31" ht="12.75">
      <c r="A27" s="1"/>
      <c r="B27" s="2"/>
      <c r="C27" s="2"/>
      <c r="D27" s="2"/>
      <c r="E27" s="84"/>
      <c r="F27" s="25"/>
      <c r="G27" s="68">
        <f t="shared" si="20"/>
        <v>0</v>
      </c>
      <c r="H27" s="40">
        <v>1.9</v>
      </c>
      <c r="I27" s="40">
        <v>7.9</v>
      </c>
      <c r="J27" s="69">
        <v>2.28</v>
      </c>
      <c r="K27" s="11"/>
      <c r="L27" s="10"/>
      <c r="M27" s="72">
        <f t="shared" si="21"/>
        <v>91.72</v>
      </c>
      <c r="N27" s="68">
        <f t="shared" si="22"/>
        <v>85.6792</v>
      </c>
      <c r="O27" s="73" t="e">
        <f t="shared" si="9"/>
        <v>#DIV/0!</v>
      </c>
      <c r="P27" s="74" t="e">
        <f t="shared" si="23"/>
        <v>#DIV/0!</v>
      </c>
      <c r="Q27" s="75" t="e">
        <f t="shared" si="24"/>
        <v>#DIV/0!</v>
      </c>
      <c r="R27" s="73" t="e">
        <f t="shared" si="25"/>
        <v>#DIV/0!</v>
      </c>
      <c r="S27" s="76" t="e">
        <f t="shared" si="26"/>
        <v>#DIV/0!</v>
      </c>
      <c r="T27" s="77">
        <f t="shared" si="27"/>
        <v>0.8996092727272726</v>
      </c>
      <c r="U27" s="78">
        <f t="shared" si="4"/>
        <v>51.75</v>
      </c>
      <c r="V27" s="78" t="e">
        <f t="shared" si="28"/>
        <v>#DIV/0!</v>
      </c>
      <c r="W27" s="78">
        <f t="shared" si="29"/>
        <v>34.92</v>
      </c>
      <c r="X27" s="78" t="e">
        <f t="shared" si="30"/>
        <v>#DIV/0!</v>
      </c>
      <c r="Y27" s="78" t="e">
        <f t="shared" si="31"/>
        <v>#DIV/0!</v>
      </c>
      <c r="Z27" s="79">
        <f t="shared" si="32"/>
        <v>0</v>
      </c>
      <c r="AA27" s="78">
        <f t="shared" si="33"/>
        <v>0.9535733625010726</v>
      </c>
      <c r="AB27" s="80" t="e">
        <f t="shared" si="34"/>
        <v>#DIV/0!</v>
      </c>
      <c r="AC27" s="81">
        <f t="shared" si="35"/>
        <v>0</v>
      </c>
      <c r="AD27" s="81">
        <f t="shared" si="36"/>
        <v>82.2479</v>
      </c>
      <c r="AE27" s="82">
        <f t="shared" si="37"/>
        <v>-1.3283468958339784</v>
      </c>
    </row>
    <row r="28" spans="1:31" ht="12.75">
      <c r="A28" s="1"/>
      <c r="B28" s="2"/>
      <c r="C28" s="2"/>
      <c r="D28" s="2"/>
      <c r="E28" s="84"/>
      <c r="F28" s="25"/>
      <c r="G28" s="68">
        <f t="shared" si="20"/>
        <v>0</v>
      </c>
      <c r="H28" s="40">
        <v>1.9</v>
      </c>
      <c r="I28" s="40">
        <v>7.9</v>
      </c>
      <c r="J28" s="69">
        <v>2.28</v>
      </c>
      <c r="K28" s="11"/>
      <c r="L28" s="10"/>
      <c r="M28" s="72">
        <f t="shared" si="21"/>
        <v>91.72</v>
      </c>
      <c r="N28" s="68">
        <f t="shared" si="22"/>
        <v>85.6792</v>
      </c>
      <c r="O28" s="73" t="e">
        <f t="shared" si="9"/>
        <v>#DIV/0!</v>
      </c>
      <c r="P28" s="74" t="e">
        <f t="shared" si="23"/>
        <v>#DIV/0!</v>
      </c>
      <c r="Q28" s="75" t="e">
        <f t="shared" si="24"/>
        <v>#DIV/0!</v>
      </c>
      <c r="R28" s="73" t="e">
        <f t="shared" si="25"/>
        <v>#DIV/0!</v>
      </c>
      <c r="S28" s="76" t="e">
        <f t="shared" si="26"/>
        <v>#DIV/0!</v>
      </c>
      <c r="T28" s="77">
        <f t="shared" si="27"/>
        <v>0.8996092727272726</v>
      </c>
      <c r="U28" s="78">
        <f t="shared" si="4"/>
        <v>51.75</v>
      </c>
      <c r="V28" s="78" t="e">
        <f t="shared" si="28"/>
        <v>#DIV/0!</v>
      </c>
      <c r="W28" s="78">
        <f t="shared" si="29"/>
        <v>34.92</v>
      </c>
      <c r="X28" s="78" t="e">
        <f t="shared" si="30"/>
        <v>#DIV/0!</v>
      </c>
      <c r="Y28" s="78" t="e">
        <f t="shared" si="31"/>
        <v>#DIV/0!</v>
      </c>
      <c r="Z28" s="79">
        <f t="shared" si="32"/>
        <v>0</v>
      </c>
      <c r="AA28" s="78">
        <f t="shared" si="33"/>
        <v>0.9535733625010726</v>
      </c>
      <c r="AB28" s="80" t="e">
        <f t="shared" si="34"/>
        <v>#DIV/0!</v>
      </c>
      <c r="AC28" s="81">
        <f t="shared" si="35"/>
        <v>0</v>
      </c>
      <c r="AD28" s="81">
        <f t="shared" si="36"/>
        <v>82.2479</v>
      </c>
      <c r="AE28" s="82">
        <f t="shared" si="37"/>
        <v>-1.3283468958339784</v>
      </c>
    </row>
    <row r="29" spans="1:31" ht="12.75">
      <c r="A29" s="1"/>
      <c r="B29" s="2"/>
      <c r="C29" s="2"/>
      <c r="D29" s="2"/>
      <c r="E29" s="84"/>
      <c r="F29" s="25"/>
      <c r="G29" s="68">
        <f t="shared" si="20"/>
        <v>0</v>
      </c>
      <c r="H29" s="40">
        <v>1.9</v>
      </c>
      <c r="I29" s="40">
        <v>7.9</v>
      </c>
      <c r="J29" s="69">
        <v>2.28</v>
      </c>
      <c r="K29" s="11"/>
      <c r="L29" s="10"/>
      <c r="M29" s="72">
        <f t="shared" si="21"/>
        <v>91.72</v>
      </c>
      <c r="N29" s="68">
        <f t="shared" si="22"/>
        <v>85.6792</v>
      </c>
      <c r="O29" s="73" t="e">
        <f t="shared" si="9"/>
        <v>#DIV/0!</v>
      </c>
      <c r="P29" s="74" t="e">
        <f t="shared" si="23"/>
        <v>#DIV/0!</v>
      </c>
      <c r="Q29" s="75" t="e">
        <f t="shared" si="24"/>
        <v>#DIV/0!</v>
      </c>
      <c r="R29" s="73" t="e">
        <f t="shared" si="25"/>
        <v>#DIV/0!</v>
      </c>
      <c r="S29" s="76" t="e">
        <f t="shared" si="26"/>
        <v>#DIV/0!</v>
      </c>
      <c r="T29" s="77">
        <f t="shared" si="27"/>
        <v>0.8996092727272726</v>
      </c>
      <c r="U29" s="78">
        <f t="shared" si="4"/>
        <v>51.75</v>
      </c>
      <c r="V29" s="78" t="e">
        <f t="shared" si="28"/>
        <v>#DIV/0!</v>
      </c>
      <c r="W29" s="78">
        <f t="shared" si="29"/>
        <v>34.92</v>
      </c>
      <c r="X29" s="78" t="e">
        <f t="shared" si="30"/>
        <v>#DIV/0!</v>
      </c>
      <c r="Y29" s="78" t="e">
        <f t="shared" si="31"/>
        <v>#DIV/0!</v>
      </c>
      <c r="Z29" s="79">
        <f t="shared" si="32"/>
        <v>0</v>
      </c>
      <c r="AA29" s="78">
        <f t="shared" si="33"/>
        <v>0.9535733625010726</v>
      </c>
      <c r="AB29" s="80" t="e">
        <f t="shared" si="34"/>
        <v>#DIV/0!</v>
      </c>
      <c r="AC29" s="81">
        <f t="shared" si="35"/>
        <v>0</v>
      </c>
      <c r="AD29" s="81">
        <f t="shared" si="36"/>
        <v>82.2479</v>
      </c>
      <c r="AE29" s="82">
        <f t="shared" si="37"/>
        <v>-1.3283468958339784</v>
      </c>
    </row>
    <row r="30" spans="1:31" ht="12.75">
      <c r="A30" s="1"/>
      <c r="B30" s="2"/>
      <c r="C30" s="2"/>
      <c r="D30" s="2"/>
      <c r="E30" s="84"/>
      <c r="F30" s="25"/>
      <c r="G30" s="68">
        <f t="shared" si="20"/>
        <v>0</v>
      </c>
      <c r="H30" s="40">
        <v>1.9</v>
      </c>
      <c r="I30" s="40">
        <v>7.9</v>
      </c>
      <c r="J30" s="69">
        <v>2.28</v>
      </c>
      <c r="K30" s="11"/>
      <c r="L30" s="10"/>
      <c r="M30" s="72">
        <f t="shared" si="21"/>
        <v>91.72</v>
      </c>
      <c r="N30" s="68">
        <f t="shared" si="22"/>
        <v>85.6792</v>
      </c>
      <c r="O30" s="73" t="e">
        <f t="shared" si="9"/>
        <v>#DIV/0!</v>
      </c>
      <c r="P30" s="74" t="e">
        <f t="shared" si="23"/>
        <v>#DIV/0!</v>
      </c>
      <c r="Q30" s="75" t="e">
        <f t="shared" si="24"/>
        <v>#DIV/0!</v>
      </c>
      <c r="R30" s="73" t="e">
        <f t="shared" si="25"/>
        <v>#DIV/0!</v>
      </c>
      <c r="S30" s="76" t="e">
        <f t="shared" si="26"/>
        <v>#DIV/0!</v>
      </c>
      <c r="T30" s="77">
        <f t="shared" si="27"/>
        <v>0.8996092727272726</v>
      </c>
      <c r="U30" s="78">
        <f t="shared" si="4"/>
        <v>51.75</v>
      </c>
      <c r="V30" s="78" t="e">
        <f t="shared" si="28"/>
        <v>#DIV/0!</v>
      </c>
      <c r="W30" s="78">
        <f t="shared" si="29"/>
        <v>34.92</v>
      </c>
      <c r="X30" s="78" t="e">
        <f t="shared" si="30"/>
        <v>#DIV/0!</v>
      </c>
      <c r="Y30" s="78" t="e">
        <f t="shared" si="31"/>
        <v>#DIV/0!</v>
      </c>
      <c r="Z30" s="79">
        <f t="shared" si="32"/>
        <v>0</v>
      </c>
      <c r="AA30" s="78">
        <f t="shared" si="33"/>
        <v>0.9535733625010726</v>
      </c>
      <c r="AB30" s="80" t="e">
        <f t="shared" si="34"/>
        <v>#DIV/0!</v>
      </c>
      <c r="AC30" s="81">
        <f t="shared" si="35"/>
        <v>0</v>
      </c>
      <c r="AD30" s="81">
        <f t="shared" si="36"/>
        <v>82.2479</v>
      </c>
      <c r="AE30" s="82">
        <f t="shared" si="37"/>
        <v>-1.3283468958339784</v>
      </c>
    </row>
    <row r="31" spans="1:31" ht="12.75">
      <c r="A31" s="1"/>
      <c r="B31" s="2"/>
      <c r="C31" s="2"/>
      <c r="D31" s="2"/>
      <c r="E31" s="84"/>
      <c r="F31" s="25"/>
      <c r="G31" s="68">
        <f t="shared" si="20"/>
        <v>0</v>
      </c>
      <c r="H31" s="40">
        <v>1.9</v>
      </c>
      <c r="I31" s="40">
        <v>7.9</v>
      </c>
      <c r="J31" s="69">
        <v>2.28</v>
      </c>
      <c r="K31" s="11"/>
      <c r="L31" s="10"/>
      <c r="M31" s="72">
        <f t="shared" si="21"/>
        <v>91.72</v>
      </c>
      <c r="N31" s="68">
        <f t="shared" si="22"/>
        <v>85.6792</v>
      </c>
      <c r="O31" s="73" t="e">
        <f t="shared" si="9"/>
        <v>#DIV/0!</v>
      </c>
      <c r="P31" s="74" t="e">
        <f t="shared" si="23"/>
        <v>#DIV/0!</v>
      </c>
      <c r="Q31" s="75" t="e">
        <f t="shared" si="24"/>
        <v>#DIV/0!</v>
      </c>
      <c r="R31" s="73" t="e">
        <f t="shared" si="25"/>
        <v>#DIV/0!</v>
      </c>
      <c r="S31" s="76" t="e">
        <f t="shared" si="26"/>
        <v>#DIV/0!</v>
      </c>
      <c r="T31" s="77">
        <f t="shared" si="27"/>
        <v>0.8996092727272726</v>
      </c>
      <c r="U31" s="78">
        <f t="shared" si="4"/>
        <v>51.75</v>
      </c>
      <c r="V31" s="78" t="e">
        <f t="shared" si="28"/>
        <v>#DIV/0!</v>
      </c>
      <c r="W31" s="78">
        <f t="shared" si="29"/>
        <v>34.92</v>
      </c>
      <c r="X31" s="78" t="e">
        <f t="shared" si="30"/>
        <v>#DIV/0!</v>
      </c>
      <c r="Y31" s="78" t="e">
        <f t="shared" si="31"/>
        <v>#DIV/0!</v>
      </c>
      <c r="Z31" s="79">
        <f t="shared" si="32"/>
        <v>0</v>
      </c>
      <c r="AA31" s="78">
        <f t="shared" si="33"/>
        <v>0.9535733625010726</v>
      </c>
      <c r="AB31" s="80" t="e">
        <f t="shared" si="34"/>
        <v>#DIV/0!</v>
      </c>
      <c r="AC31" s="81">
        <f t="shared" si="35"/>
        <v>0</v>
      </c>
      <c r="AD31" s="81">
        <f t="shared" si="36"/>
        <v>82.2479</v>
      </c>
      <c r="AE31" s="82">
        <f t="shared" si="37"/>
        <v>-1.3283468958339784</v>
      </c>
    </row>
    <row r="32" spans="1:31" ht="12.75">
      <c r="A32" s="1"/>
      <c r="B32" s="2"/>
      <c r="C32" s="2"/>
      <c r="D32" s="2"/>
      <c r="E32" s="84"/>
      <c r="F32" s="25"/>
      <c r="G32" s="68">
        <f t="shared" si="20"/>
        <v>0</v>
      </c>
      <c r="H32" s="40">
        <v>1.9</v>
      </c>
      <c r="I32" s="40">
        <v>7.9</v>
      </c>
      <c r="J32" s="69">
        <v>2.28</v>
      </c>
      <c r="K32" s="11"/>
      <c r="L32" s="10"/>
      <c r="M32" s="72">
        <f t="shared" si="21"/>
        <v>91.72</v>
      </c>
      <c r="N32" s="68">
        <f t="shared" si="22"/>
        <v>85.6792</v>
      </c>
      <c r="O32" s="73" t="e">
        <f t="shared" si="9"/>
        <v>#DIV/0!</v>
      </c>
      <c r="P32" s="74" t="e">
        <f t="shared" si="23"/>
        <v>#DIV/0!</v>
      </c>
      <c r="Q32" s="75" t="e">
        <f t="shared" si="24"/>
        <v>#DIV/0!</v>
      </c>
      <c r="R32" s="73" t="e">
        <f t="shared" si="25"/>
        <v>#DIV/0!</v>
      </c>
      <c r="S32" s="76" t="e">
        <f t="shared" si="26"/>
        <v>#DIV/0!</v>
      </c>
      <c r="T32" s="77">
        <f t="shared" si="27"/>
        <v>0.8996092727272726</v>
      </c>
      <c r="U32" s="78">
        <f t="shared" si="4"/>
        <v>51.75</v>
      </c>
      <c r="V32" s="78" t="e">
        <f t="shared" si="28"/>
        <v>#DIV/0!</v>
      </c>
      <c r="W32" s="78">
        <f t="shared" si="29"/>
        <v>34.92</v>
      </c>
      <c r="X32" s="78" t="e">
        <f t="shared" si="30"/>
        <v>#DIV/0!</v>
      </c>
      <c r="Y32" s="78" t="e">
        <f t="shared" si="31"/>
        <v>#DIV/0!</v>
      </c>
      <c r="Z32" s="79">
        <f t="shared" si="32"/>
        <v>0</v>
      </c>
      <c r="AA32" s="78">
        <f t="shared" si="33"/>
        <v>0.9535733625010726</v>
      </c>
      <c r="AB32" s="80" t="e">
        <f t="shared" si="34"/>
        <v>#DIV/0!</v>
      </c>
      <c r="AC32" s="81">
        <f t="shared" si="35"/>
        <v>0</v>
      </c>
      <c r="AD32" s="81">
        <f t="shared" si="36"/>
        <v>82.2479</v>
      </c>
      <c r="AE32" s="82">
        <f t="shared" si="37"/>
        <v>-1.3283468958339784</v>
      </c>
    </row>
  </sheetData>
  <sheetProtection password="CAE1" sheet="1" objects="1" scenarios="1"/>
  <mergeCells count="1">
    <mergeCell ref="B1:M4"/>
  </mergeCells>
  <printOptions/>
  <pageMargins left="0.5" right="0.5" top="1" bottom="1" header="0.5" footer="0.5"/>
  <pageSetup horizontalDpi="300" verticalDpi="300" orientation="landscape" scale="7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Undersander</dc:creator>
  <cp:keywords/>
  <dc:description/>
  <cp:lastModifiedBy>Microsoft Office User</cp:lastModifiedBy>
  <cp:lastPrinted>2007-05-21T19:32:52Z</cp:lastPrinted>
  <dcterms:created xsi:type="dcterms:W3CDTF">2000-09-19T18:21:44Z</dcterms:created>
  <dcterms:modified xsi:type="dcterms:W3CDTF">2016-12-01T20:29:53Z</dcterms:modified>
  <cp:category/>
  <cp:version/>
  <cp:contentType/>
  <cp:contentStatus/>
</cp:coreProperties>
</file>