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55" windowHeight="858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'Budget'!$A$1:$K$121</definedName>
  </definedNames>
  <calcPr fullCalcOnLoad="1"/>
</workbook>
</file>

<file path=xl/sharedStrings.xml><?xml version="1.0" encoding="utf-8"?>
<sst xmlns="http://schemas.openxmlformats.org/spreadsheetml/2006/main" count="279" uniqueCount="130">
  <si>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</si>
  <si>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</si>
  <si>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</si>
  <si>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</si>
  <si>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</si>
  <si>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</si>
  <si>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</si>
  <si>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</si>
  <si>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</si>
  <si>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</si>
  <si>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</si>
  <si>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</si>
  <si>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</si>
  <si>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</si>
  <si>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</si>
  <si>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</si>
  <si>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</si>
  <si>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</si>
  <si>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</si>
  <si>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</si>
  <si>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</si>
  <si>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</si>
  <si>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</si>
  <si>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</si>
  <si>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</si>
  <si>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</si>
  <si>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</si>
  <si>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</si>
  <si>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</si>
  <si>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>Totals</t>
  </si>
  <si>
    <t>University of Wisconsin Center for Dairy Profitability</t>
  </si>
  <si>
    <t>bu/acre</t>
  </si>
  <si>
    <t>Corn, Shelled</t>
  </si>
  <si>
    <t>Operating Costs</t>
  </si>
  <si>
    <t>Input Expenses</t>
  </si>
  <si>
    <t>Fertility</t>
  </si>
  <si>
    <t>9-23-30 Starter Fertilizer</t>
  </si>
  <si>
    <t>Urea 46-0-0</t>
  </si>
  <si>
    <t>Phosphorus 0-46-0</t>
  </si>
  <si>
    <t>Seed Plants</t>
  </si>
  <si>
    <t>Corn Seed</t>
  </si>
  <si>
    <t>bag</t>
  </si>
  <si>
    <t>Miscellaneous</t>
  </si>
  <si>
    <t>Soil test</t>
  </si>
  <si>
    <t>Custom fertilizer spreading</t>
  </si>
  <si>
    <t>Grain Drying</t>
  </si>
  <si>
    <t>Pest Scouting</t>
  </si>
  <si>
    <t>bu</t>
  </si>
  <si>
    <t>Weed Control</t>
  </si>
  <si>
    <t>Hornet WDG</t>
  </si>
  <si>
    <t>Insect Control</t>
  </si>
  <si>
    <t>gal</t>
  </si>
  <si>
    <t xml:space="preserve">   Diesel Fuel</t>
  </si>
  <si>
    <t xml:space="preserve">   Gasoline</t>
  </si>
  <si>
    <t>Energy Expenses</t>
  </si>
  <si>
    <t xml:space="preserve">   LP Gas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</si>
  <si>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</si>
  <si>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</si>
  <si>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</si>
  <si>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</si>
  <si>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</si>
  <si>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</si>
  <si>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</si>
  <si>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</si>
  <si>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>Head, corn grain 6-30</t>
  </si>
  <si>
    <t>Tandem truck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</si>
  <si>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</si>
  <si>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</si>
  <si>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</si>
  <si>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</si>
  <si>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</si>
  <si>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</si>
  <si>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 xml:space="preserve"> Starter Fertilizer</t>
  </si>
  <si>
    <t>Nitrogen fertilizer</t>
  </si>
  <si>
    <t>Potassium 0-0-60</t>
  </si>
  <si>
    <t>Land ownership costs</t>
  </si>
  <si>
    <t xml:space="preserve">  for many of the field operations needed to till, plant, and harvest the corn crop.   In place of these values, one can use the cumulative value per acre from the </t>
  </si>
  <si>
    <t>$ per bushel</t>
  </si>
  <si>
    <t>Risk Analyses</t>
  </si>
  <si>
    <t xml:space="preserve">     (Value of Production less Total Costs as Price and Yield Vary)</t>
  </si>
  <si>
    <t xml:space="preserve">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</si>
  <si>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</si>
  <si>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</si>
  <si>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</si>
  <si>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</si>
  <si>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</si>
  <si>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>Harness</t>
  </si>
  <si>
    <t>Planter 12-30 min-till</t>
  </si>
  <si>
    <t xml:space="preserve">Sprayer 60 ft </t>
  </si>
  <si>
    <t>Tractor 060 HP</t>
  </si>
  <si>
    <t>Phosphorus 18-46-0</t>
  </si>
  <si>
    <t>pt</t>
  </si>
  <si>
    <t>oz</t>
  </si>
  <si>
    <t>Total Cost per Bushel</t>
  </si>
  <si>
    <t>Total Operating Costs per Acre</t>
  </si>
  <si>
    <t>Total Costs per Acre</t>
  </si>
  <si>
    <t>Return to Operator per Acre</t>
  </si>
  <si>
    <t>Total Operating Costs per Bushel</t>
  </si>
  <si>
    <t>Return to Land and Operator per Acre</t>
  </si>
  <si>
    <t xml:space="preserve">Management charge </t>
  </si>
  <si>
    <t>Total Fixed Expenses per Acre</t>
  </si>
  <si>
    <t>Government payments</t>
  </si>
  <si>
    <r>
      <t>Government payments</t>
    </r>
    <r>
      <rPr>
        <vertAlign val="superscript"/>
        <sz val="10"/>
        <rFont val="Arial"/>
        <family val="2"/>
      </rPr>
      <t>1</t>
    </r>
  </si>
  <si>
    <t xml:space="preserve">Fertility </t>
  </si>
  <si>
    <t>Crop insurance</t>
  </si>
  <si>
    <r>
      <t>Custom Rate Charges</t>
    </r>
    <r>
      <rPr>
        <vertAlign val="superscript"/>
        <sz val="10"/>
        <rFont val="Arial"/>
        <family val="2"/>
      </rPr>
      <t>2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</si>
  <si>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</si>
  <si>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Plow, disc-chisel 16.3 ft</t>
  </si>
  <si>
    <t>Fertilizer spreading</t>
  </si>
  <si>
    <t>Hauling</t>
  </si>
  <si>
    <t>(Enter % in I75)</t>
  </si>
  <si>
    <t>Management charge (enter % of income in I87)</t>
  </si>
  <si>
    <t>None</t>
  </si>
  <si>
    <t xml:space="preserve">Total Cost per Bushel </t>
  </si>
  <si>
    <t>Spray nurse tank 1300 gal</t>
  </si>
  <si>
    <t>Tractor 225 HP MFWD</t>
  </si>
  <si>
    <t xml:space="preserve">  Wisconsin's 2010 Custom Rate Guide.  </t>
  </si>
  <si>
    <t>Revenue Protection - Corn 70%</t>
  </si>
  <si>
    <t>Grain cart 650 bushel</t>
  </si>
  <si>
    <t xml:space="preserve">Tractor 200 HP MFWD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</si>
  <si>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</si>
  <si>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</si>
  <si>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</si>
  <si>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Combine, 305 HP</t>
  </si>
  <si>
    <t>Field cultivator 27 ft.</t>
  </si>
  <si>
    <t xml:space="preserve">Tractor 160 HP MFWD 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</si>
  <si>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Starting in 2014, there are no longer any direct payments.</t>
    </r>
  </si>
  <si>
    <t>Developed by Ken Barnett, March 2014</t>
  </si>
  <si>
    <t>Continuous Corn Budget for Wisconsin in 2014</t>
  </si>
  <si>
    <t>Corn after Corn Budget for Wisconsin in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</si>
</sst>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/>
    </border>
    <border>
      <left style="hair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ck"/>
      <right/>
      <top/>
      <bottom style="medium"/>
    </border>
    <border>
      <left style="thick"/>
      <right style="hair"/>
      <top style="hair"/>
      <bottom style="hair"/>
    </border>
    <border>
      <left style="hair"/>
      <right/>
      <top style="hair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7" fillId="33" borderId="0" xfId="0" applyFont="1" applyFill="1" applyAlignment="1" quotePrefix="1">
      <alignment horizontal="left"/>
    </xf>
    <xf numFmtId="0" fontId="7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10" fillId="0" borderId="0" xfId="52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right"/>
    </xf>
    <xf numFmtId="2" fontId="0" fillId="0" borderId="16" xfId="0" applyNumberFormat="1" applyFill="1" applyBorder="1" applyAlignment="1" applyProtection="1">
      <alignment horizontal="center"/>
      <protection/>
    </xf>
    <xf numFmtId="10" fontId="0" fillId="33" borderId="11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2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14" fontId="0" fillId="0" borderId="15" xfId="0" applyNumberFormat="1" applyBorder="1" applyAlignment="1">
      <alignment horizontal="right"/>
    </xf>
    <xf numFmtId="2" fontId="0" fillId="33" borderId="39" xfId="0" applyNumberFormat="1" applyFill="1" applyBorder="1" applyAlignment="1" applyProtection="1">
      <alignment horizontal="center"/>
      <protection locked="0"/>
    </xf>
    <xf numFmtId="2" fontId="12" fillId="0" borderId="15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2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52" applyAlignment="1" applyProtection="1">
      <alignment/>
      <protection/>
    </xf>
    <xf numFmtId="0" fontId="2" fillId="0" borderId="12" xfId="0" applyFont="1" applyBorder="1" applyAlignment="1">
      <alignment horizontal="center"/>
    </xf>
    <xf numFmtId="14" fontId="0" fillId="0" borderId="0" xfId="0" applyNumberForma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 applyProtection="1" quotePrefix="1">
      <alignment horizontal="center"/>
      <protection/>
    </xf>
    <xf numFmtId="2" fontId="13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0" fontId="0" fillId="0" borderId="0" xfId="0" applyNumberForma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2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40" xfId="0" applyNumberForma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right"/>
    </xf>
    <xf numFmtId="164" fontId="0" fillId="0" borderId="4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125</xdr:row>
      <xdr:rowOff>28575</xdr:rowOff>
    </xdr:from>
    <xdr:to>
      <xdr:col>6</xdr:col>
      <xdr:colOff>942975</xdr:colOff>
      <xdr:row>133</xdr:row>
      <xdr:rowOff>28575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0602575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561975</xdr:colOff>
      <xdr:row>4</xdr:row>
      <xdr:rowOff>66675</xdr:rowOff>
    </xdr:to>
    <xdr:pic>
      <xdr:nvPicPr>
        <xdr:cNvPr id="3" name="Picture 6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85725"/>
          <a:ext cx="233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47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41</xdr:row>
      <xdr:rowOff>47625</xdr:rowOff>
    </xdr:from>
    <xdr:to>
      <xdr:col>9</xdr:col>
      <xdr:colOff>752475</xdr:colOff>
      <xdr:row>49</xdr:row>
      <xdr:rowOff>47625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9913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581025</xdr:colOff>
      <xdr:row>2</xdr:row>
      <xdr:rowOff>0</xdr:rowOff>
    </xdr:from>
    <xdr:to>
      <xdr:col>16</xdr:col>
      <xdr:colOff>28575</xdr:colOff>
      <xdr:row>4</xdr:row>
      <xdr:rowOff>152400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323850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27</xdr:row>
      <xdr:rowOff>133350</xdr:rowOff>
    </xdr:from>
    <xdr:to>
      <xdr:col>5</xdr:col>
      <xdr:colOff>266700</xdr:colOff>
      <xdr:row>37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5815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104775</xdr:rowOff>
    </xdr:from>
    <xdr:to>
      <xdr:col>8</xdr:col>
      <xdr:colOff>581025</xdr:colOff>
      <xdr:row>4</xdr:row>
      <xdr:rowOff>85725</xdr:rowOff>
    </xdr:to>
    <xdr:pic>
      <xdr:nvPicPr>
        <xdr:cNvPr id="3" name="Picture 5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3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38.28125" style="0" customWidth="1"/>
    <col min="2" max="2" width="19.00390625" style="2" customWidth="1"/>
    <col min="3" max="3" width="16.00390625" style="2" customWidth="1"/>
    <col min="4" max="5" width="11.421875" style="2" customWidth="1"/>
    <col min="6" max="6" width="3.140625" style="2" customWidth="1"/>
    <col min="7" max="7" width="39.140625" style="0" customWidth="1"/>
    <col min="8" max="8" width="14.7109375" style="0" customWidth="1"/>
  </cols>
  <sheetData>
    <row r="1" ht="12.75"/>
    <row r="2" ht="12.75">
      <c r="J2" s="152"/>
    </row>
    <row r="3" ht="12.75">
      <c r="J3" s="152"/>
    </row>
    <row r="4" ht="12.75">
      <c r="J4" s="152"/>
    </row>
    <row r="5" ht="12.75"/>
    <row r="6" spans="1:7" ht="18">
      <c r="A6" s="23" t="s">
        <v>128</v>
      </c>
      <c r="G6" s="1"/>
    </row>
    <row r="7" spans="1:7" ht="12.75">
      <c r="A7" s="1"/>
      <c r="G7" s="1"/>
    </row>
    <row r="8" spans="1:7" ht="12.75">
      <c r="A8" s="1"/>
      <c r="G8" s="1"/>
    </row>
    <row r="9" spans="1:7" ht="15.75">
      <c r="A9" s="20" t="s">
        <v>70</v>
      </c>
      <c r="B9" s="22"/>
      <c r="G9" s="11"/>
    </row>
    <row r="10" spans="1:7" ht="12.75">
      <c r="A10" s="11"/>
      <c r="G10" s="11"/>
    </row>
    <row r="11" spans="1:7" ht="15.75">
      <c r="A11" s="21" t="s">
        <v>67</v>
      </c>
      <c r="G11" s="21" t="s">
        <v>68</v>
      </c>
    </row>
    <row r="12" spans="1:7" ht="12.75">
      <c r="A12" s="11"/>
      <c r="G12" s="11"/>
    </row>
    <row r="13" spans="1:11" ht="12.75">
      <c r="A13" s="26"/>
      <c r="B13" s="27" t="s">
        <v>2</v>
      </c>
      <c r="C13" s="27" t="s">
        <v>3</v>
      </c>
      <c r="D13" s="27" t="s">
        <v>4</v>
      </c>
      <c r="E13" s="38" t="s">
        <v>5</v>
      </c>
      <c r="F13" s="27"/>
      <c r="G13" s="81"/>
      <c r="H13" s="12" t="s">
        <v>2</v>
      </c>
      <c r="I13" s="12" t="s">
        <v>3</v>
      </c>
      <c r="J13" s="12" t="s">
        <v>4</v>
      </c>
      <c r="K13" s="12" t="s">
        <v>5</v>
      </c>
    </row>
    <row r="14" spans="1:11" ht="13.5" thickBot="1">
      <c r="A14" s="28"/>
      <c r="B14" s="29"/>
      <c r="C14" s="29"/>
      <c r="D14" s="29" t="s">
        <v>0</v>
      </c>
      <c r="E14" s="39" t="s">
        <v>6</v>
      </c>
      <c r="F14" s="27"/>
      <c r="G14" s="82"/>
      <c r="H14" s="103"/>
      <c r="I14" s="103"/>
      <c r="J14" s="103" t="s">
        <v>0</v>
      </c>
      <c r="K14" s="103" t="s">
        <v>6</v>
      </c>
    </row>
    <row r="15" spans="5:11" ht="12.75">
      <c r="E15" s="83"/>
      <c r="F15" s="44"/>
      <c r="G15" s="81"/>
      <c r="H15" s="2"/>
      <c r="I15" s="2"/>
      <c r="J15" s="2"/>
      <c r="K15" s="2"/>
    </row>
    <row r="16" spans="1:11" ht="12.75">
      <c r="A16" s="9" t="s">
        <v>69</v>
      </c>
      <c r="E16" s="83"/>
      <c r="F16" s="44"/>
      <c r="G16" s="84" t="s">
        <v>69</v>
      </c>
      <c r="H16" s="2"/>
      <c r="I16" s="2"/>
      <c r="J16" s="2"/>
      <c r="K16" s="2"/>
    </row>
    <row r="17" spans="5:11" ht="12.75">
      <c r="E17" s="83"/>
      <c r="F17" s="44"/>
      <c r="G17" s="81"/>
      <c r="H17" s="2"/>
      <c r="I17" s="2"/>
      <c r="J17" s="2"/>
      <c r="K17" s="2"/>
    </row>
    <row r="18" spans="1:11" ht="12.75">
      <c r="A18" t="s">
        <v>32</v>
      </c>
      <c r="B18" s="2" t="s">
        <v>31</v>
      </c>
      <c r="C18" s="31">
        <v>155</v>
      </c>
      <c r="D18" s="31">
        <v>4.49</v>
      </c>
      <c r="E18" s="85">
        <f>(C18*D18)</f>
        <v>695.95</v>
      </c>
      <c r="F18" s="86"/>
      <c r="G18" s="81" t="s">
        <v>32</v>
      </c>
      <c r="H18" s="2" t="s">
        <v>31</v>
      </c>
      <c r="I18" s="25"/>
      <c r="J18" s="25"/>
      <c r="K18" s="125">
        <f>(I18*J18)</f>
        <v>0</v>
      </c>
    </row>
    <row r="19" spans="1:11" ht="14.25">
      <c r="A19" t="s">
        <v>102</v>
      </c>
      <c r="B19" s="2" t="s">
        <v>31</v>
      </c>
      <c r="C19" s="31">
        <v>0</v>
      </c>
      <c r="D19" s="31">
        <v>0</v>
      </c>
      <c r="E19" s="85">
        <f>(C19*D19)</f>
        <v>0</v>
      </c>
      <c r="F19" s="86"/>
      <c r="G19" s="81" t="s">
        <v>101</v>
      </c>
      <c r="H19" s="2" t="s">
        <v>31</v>
      </c>
      <c r="I19" s="25"/>
      <c r="J19" s="126">
        <v>0</v>
      </c>
      <c r="K19" s="86">
        <f>(I19*J19)</f>
        <v>0</v>
      </c>
    </row>
    <row r="20" spans="3:11" ht="12.75">
      <c r="C20" s="3"/>
      <c r="D20" s="3"/>
      <c r="E20" s="85"/>
      <c r="F20" s="86"/>
      <c r="G20" s="81"/>
      <c r="H20" s="2"/>
      <c r="I20" s="96"/>
      <c r="J20" s="96"/>
      <c r="K20" s="3"/>
    </row>
    <row r="21" spans="3:11" ht="12.75">
      <c r="C21" s="3"/>
      <c r="D21" s="4" t="s">
        <v>13</v>
      </c>
      <c r="E21" s="85">
        <f>SUM(E18:E20)</f>
        <v>695.95</v>
      </c>
      <c r="F21" s="86"/>
      <c r="G21" s="81"/>
      <c r="H21" s="2"/>
      <c r="I21" s="3"/>
      <c r="J21" s="4" t="s">
        <v>13</v>
      </c>
      <c r="K21" s="86">
        <f>SUM(K18:K20)</f>
        <v>0</v>
      </c>
    </row>
    <row r="22" spans="5:11" ht="12.75">
      <c r="E22" s="83"/>
      <c r="F22" s="44"/>
      <c r="G22" s="81"/>
      <c r="H22" s="2"/>
      <c r="I22" s="2"/>
      <c r="J22" s="2"/>
      <c r="K22" s="2"/>
    </row>
    <row r="23" spans="1:11" ht="12.75">
      <c r="A23" s="9" t="s">
        <v>33</v>
      </c>
      <c r="E23" s="83"/>
      <c r="F23" s="44"/>
      <c r="G23" s="84" t="s">
        <v>33</v>
      </c>
      <c r="H23" s="2"/>
      <c r="I23" s="2"/>
      <c r="J23" s="2"/>
      <c r="K23" s="2"/>
    </row>
    <row r="24" spans="1:11" ht="12.75">
      <c r="A24" s="9"/>
      <c r="E24" s="83"/>
      <c r="F24" s="44"/>
      <c r="G24" s="84"/>
      <c r="H24" s="2"/>
      <c r="I24" s="2"/>
      <c r="J24" s="2"/>
      <c r="K24" s="2"/>
    </row>
    <row r="25" spans="1:11" ht="12.75">
      <c r="A25" s="1" t="s">
        <v>34</v>
      </c>
      <c r="E25" s="83"/>
      <c r="F25" s="44"/>
      <c r="G25" s="87" t="s">
        <v>34</v>
      </c>
      <c r="H25" s="2"/>
      <c r="I25" s="2"/>
      <c r="J25" s="2"/>
      <c r="K25" s="2"/>
    </row>
    <row r="26" spans="1:11" ht="12.75">
      <c r="A26" s="1"/>
      <c r="E26" s="83"/>
      <c r="F26" s="44"/>
      <c r="G26" s="87"/>
      <c r="H26" s="2"/>
      <c r="I26" s="2"/>
      <c r="J26" s="2"/>
      <c r="K26" s="2"/>
    </row>
    <row r="27" spans="1:11" ht="12.75">
      <c r="A27" s="1"/>
      <c r="E27" s="83"/>
      <c r="F27" s="44"/>
      <c r="G27" s="87"/>
      <c r="H27" s="2"/>
      <c r="I27" s="2"/>
      <c r="J27" s="2"/>
      <c r="K27" s="2"/>
    </row>
    <row r="28" spans="1:11" ht="12.75" customHeight="1">
      <c r="A28" s="34" t="s">
        <v>103</v>
      </c>
      <c r="C28" s="3"/>
      <c r="D28" s="3"/>
      <c r="E28" s="85"/>
      <c r="F28" s="86"/>
      <c r="G28" s="88" t="s">
        <v>35</v>
      </c>
      <c r="H28" s="2"/>
      <c r="I28" s="3"/>
      <c r="J28" s="3"/>
      <c r="K28" s="3"/>
    </row>
    <row r="29" spans="1:11" ht="12.75" customHeight="1">
      <c r="A29" s="104" t="s">
        <v>36</v>
      </c>
      <c r="B29" s="35" t="s">
        <v>71</v>
      </c>
      <c r="C29" s="105">
        <v>150</v>
      </c>
      <c r="D29" s="105">
        <v>0.24</v>
      </c>
      <c r="E29" s="85">
        <f>(C29*D29)</f>
        <v>36</v>
      </c>
      <c r="F29" s="86"/>
      <c r="G29" s="89" t="s">
        <v>72</v>
      </c>
      <c r="H29" s="19" t="s">
        <v>71</v>
      </c>
      <c r="I29" s="25"/>
      <c r="J29" s="25"/>
      <c r="K29" s="125">
        <f aca="true" t="shared" si="0" ref="K29:K34">(I29*J29)</f>
        <v>0</v>
      </c>
    </row>
    <row r="30" spans="1:11" ht="12.75" customHeight="1">
      <c r="A30" s="33" t="s">
        <v>37</v>
      </c>
      <c r="B30" s="35" t="s">
        <v>71</v>
      </c>
      <c r="C30" s="105">
        <v>310</v>
      </c>
      <c r="D30" s="105">
        <v>0.24</v>
      </c>
      <c r="E30" s="85">
        <f>(C30*D30)</f>
        <v>74.39999999999999</v>
      </c>
      <c r="F30" s="86"/>
      <c r="G30" s="40" t="s">
        <v>73</v>
      </c>
      <c r="H30" s="19" t="s">
        <v>71</v>
      </c>
      <c r="I30" s="25"/>
      <c r="J30" s="25"/>
      <c r="K30" s="125">
        <f t="shared" si="0"/>
        <v>0</v>
      </c>
    </row>
    <row r="31" spans="1:11" ht="12.75" customHeight="1">
      <c r="A31" s="33" t="s">
        <v>90</v>
      </c>
      <c r="B31" s="35" t="s">
        <v>71</v>
      </c>
      <c r="C31" s="105">
        <v>55</v>
      </c>
      <c r="D31" s="105">
        <v>0.27</v>
      </c>
      <c r="E31" s="85">
        <f>(C31*D31)</f>
        <v>14.850000000000001</v>
      </c>
      <c r="F31" s="86"/>
      <c r="G31" s="40" t="s">
        <v>38</v>
      </c>
      <c r="H31" s="19" t="s">
        <v>71</v>
      </c>
      <c r="I31" s="25"/>
      <c r="J31" s="25"/>
      <c r="K31" s="125">
        <f t="shared" si="0"/>
        <v>0</v>
      </c>
    </row>
    <row r="32" spans="1:11" ht="12.75" customHeight="1">
      <c r="A32" s="4" t="s">
        <v>74</v>
      </c>
      <c r="B32" s="35" t="s">
        <v>71</v>
      </c>
      <c r="C32" s="105">
        <v>0</v>
      </c>
      <c r="D32" s="105">
        <v>0.22</v>
      </c>
      <c r="E32" s="85">
        <f>(C32*D32)</f>
        <v>0</v>
      </c>
      <c r="F32" s="86"/>
      <c r="G32" s="40" t="s">
        <v>74</v>
      </c>
      <c r="H32" s="19" t="s">
        <v>71</v>
      </c>
      <c r="I32" s="25"/>
      <c r="J32" s="25"/>
      <c r="K32" s="125">
        <f t="shared" si="0"/>
        <v>0</v>
      </c>
    </row>
    <row r="33" spans="1:11" ht="12.75">
      <c r="A33" s="106"/>
      <c r="B33" s="107"/>
      <c r="C33" s="108"/>
      <c r="D33" s="32"/>
      <c r="E33" s="85"/>
      <c r="F33" s="86"/>
      <c r="G33" s="90"/>
      <c r="H33" s="25"/>
      <c r="I33" s="25"/>
      <c r="J33" s="25"/>
      <c r="K33" s="125">
        <f t="shared" si="0"/>
        <v>0</v>
      </c>
    </row>
    <row r="34" spans="1:11" ht="12.75">
      <c r="A34" s="4"/>
      <c r="C34" s="3"/>
      <c r="D34" s="3"/>
      <c r="E34" s="85"/>
      <c r="F34" s="86"/>
      <c r="G34" s="90"/>
      <c r="H34" s="25"/>
      <c r="I34" s="25"/>
      <c r="J34" s="25"/>
      <c r="K34" s="125">
        <f t="shared" si="0"/>
        <v>0</v>
      </c>
    </row>
    <row r="35" spans="1:11" ht="12.75">
      <c r="A35" s="4"/>
      <c r="C35" s="3"/>
      <c r="D35" s="3"/>
      <c r="E35" s="85"/>
      <c r="F35" s="86"/>
      <c r="G35" s="91"/>
      <c r="H35" s="92"/>
      <c r="I35" s="92"/>
      <c r="J35" s="93"/>
      <c r="K35" s="3"/>
    </row>
    <row r="36" spans="1:11" ht="12.75">
      <c r="A36" s="5" t="s">
        <v>39</v>
      </c>
      <c r="C36" s="3"/>
      <c r="D36" s="3"/>
      <c r="E36" s="85"/>
      <c r="F36" s="86"/>
      <c r="G36" s="88" t="s">
        <v>39</v>
      </c>
      <c r="H36" s="2"/>
      <c r="I36" s="3"/>
      <c r="J36" s="3"/>
      <c r="K36" s="3"/>
    </row>
    <row r="37" spans="1:11" ht="12.75">
      <c r="A37" s="4" t="s">
        <v>40</v>
      </c>
      <c r="B37" s="2" t="s">
        <v>41</v>
      </c>
      <c r="C37" s="109">
        <v>0.394</v>
      </c>
      <c r="D37" s="31">
        <v>263</v>
      </c>
      <c r="E37" s="85">
        <f>(C37*D37)</f>
        <v>103.622</v>
      </c>
      <c r="F37" s="86"/>
      <c r="G37" s="40" t="s">
        <v>40</v>
      </c>
      <c r="H37" s="2" t="s">
        <v>41</v>
      </c>
      <c r="I37" s="25"/>
      <c r="J37" s="25"/>
      <c r="K37" s="125">
        <f>(I37*J37)</f>
        <v>0</v>
      </c>
    </row>
    <row r="38" spans="1:11" ht="12.75">
      <c r="A38" s="4"/>
      <c r="C38" s="3"/>
      <c r="D38" s="3"/>
      <c r="E38" s="85"/>
      <c r="F38" s="86"/>
      <c r="G38" s="40"/>
      <c r="H38" s="2"/>
      <c r="I38" s="94"/>
      <c r="J38" s="94"/>
      <c r="K38" s="3"/>
    </row>
    <row r="39" spans="1:11" ht="12.75">
      <c r="A39" s="5" t="s">
        <v>42</v>
      </c>
      <c r="C39" s="3"/>
      <c r="D39" s="3"/>
      <c r="E39" s="85"/>
      <c r="F39" s="86"/>
      <c r="G39" s="88" t="s">
        <v>42</v>
      </c>
      <c r="H39" s="2"/>
      <c r="I39" s="94"/>
      <c r="J39" s="94"/>
      <c r="K39" s="3"/>
    </row>
    <row r="40" spans="1:11" ht="12.75">
      <c r="A40" s="4" t="s">
        <v>43</v>
      </c>
      <c r="B40" s="2" t="s">
        <v>1</v>
      </c>
      <c r="C40" s="3">
        <v>1</v>
      </c>
      <c r="D40" s="3">
        <v>0.4</v>
      </c>
      <c r="E40" s="85">
        <f aca="true" t="shared" si="1" ref="E40:E45">(C40*D40)</f>
        <v>0.4</v>
      </c>
      <c r="F40" s="86"/>
      <c r="G40" s="40" t="s">
        <v>43</v>
      </c>
      <c r="H40" s="2" t="s">
        <v>1</v>
      </c>
      <c r="I40" s="25"/>
      <c r="J40" s="25"/>
      <c r="K40" s="125">
        <f aca="true" t="shared" si="2" ref="K40:K45">(I40*J40)</f>
        <v>0</v>
      </c>
    </row>
    <row r="41" spans="1:11" ht="12.75">
      <c r="A41" s="139" t="s">
        <v>44</v>
      </c>
      <c r="B41" s="140" t="s">
        <v>1</v>
      </c>
      <c r="C41" s="18">
        <v>1</v>
      </c>
      <c r="D41" s="144">
        <v>5.86</v>
      </c>
      <c r="E41" s="141">
        <f t="shared" si="1"/>
        <v>5.86</v>
      </c>
      <c r="F41" s="86"/>
      <c r="G41" s="40" t="s">
        <v>108</v>
      </c>
      <c r="H41" s="2" t="s">
        <v>1</v>
      </c>
      <c r="I41" s="25"/>
      <c r="J41" s="25"/>
      <c r="K41" s="125">
        <f t="shared" si="2"/>
        <v>0</v>
      </c>
    </row>
    <row r="42" spans="1:11" ht="12.75">
      <c r="A42" s="151" t="s">
        <v>45</v>
      </c>
      <c r="B42" s="140" t="s">
        <v>47</v>
      </c>
      <c r="C42" s="18">
        <f>C18</f>
        <v>155</v>
      </c>
      <c r="D42" s="145">
        <v>0.3</v>
      </c>
      <c r="E42" s="141">
        <f t="shared" si="1"/>
        <v>46.5</v>
      </c>
      <c r="F42" s="86"/>
      <c r="G42" s="40" t="s">
        <v>45</v>
      </c>
      <c r="H42" s="2" t="s">
        <v>47</v>
      </c>
      <c r="I42" s="25"/>
      <c r="J42" s="25"/>
      <c r="K42" s="125">
        <f t="shared" si="2"/>
        <v>0</v>
      </c>
    </row>
    <row r="43" spans="1:11" ht="12.75">
      <c r="A43" s="151" t="s">
        <v>117</v>
      </c>
      <c r="B43" s="140" t="s">
        <v>1</v>
      </c>
      <c r="C43" s="18">
        <v>1</v>
      </c>
      <c r="D43" s="144">
        <v>12.81</v>
      </c>
      <c r="E43" s="141">
        <f t="shared" si="1"/>
        <v>12.81</v>
      </c>
      <c r="F43" s="86"/>
      <c r="G43" s="40" t="s">
        <v>104</v>
      </c>
      <c r="H43" s="2" t="s">
        <v>1</v>
      </c>
      <c r="I43" s="25"/>
      <c r="J43" s="25"/>
      <c r="K43" s="125">
        <f t="shared" si="2"/>
        <v>0</v>
      </c>
    </row>
    <row r="44" spans="1:11" ht="12.75">
      <c r="A44" s="151" t="s">
        <v>46</v>
      </c>
      <c r="B44" s="140" t="s">
        <v>1</v>
      </c>
      <c r="C44" s="18">
        <v>1</v>
      </c>
      <c r="D44" s="144">
        <v>6.75</v>
      </c>
      <c r="E44" s="141">
        <f t="shared" si="1"/>
        <v>6.75</v>
      </c>
      <c r="F44" s="86"/>
      <c r="G44" s="40" t="s">
        <v>46</v>
      </c>
      <c r="H44" s="2" t="s">
        <v>1</v>
      </c>
      <c r="I44" s="25"/>
      <c r="J44" s="25"/>
      <c r="K44" s="125">
        <f t="shared" si="2"/>
        <v>0</v>
      </c>
    </row>
    <row r="45" spans="1:11" ht="12.75">
      <c r="A45" s="33" t="s">
        <v>109</v>
      </c>
      <c r="B45" s="30" t="s">
        <v>1</v>
      </c>
      <c r="C45" s="31">
        <v>1</v>
      </c>
      <c r="D45" s="105">
        <v>18.99</v>
      </c>
      <c r="E45" s="32">
        <f t="shared" si="1"/>
        <v>18.99</v>
      </c>
      <c r="F45" s="113"/>
      <c r="G45" s="33" t="s">
        <v>109</v>
      </c>
      <c r="H45" s="30" t="s">
        <v>1</v>
      </c>
      <c r="I45" s="25"/>
      <c r="J45" s="25"/>
      <c r="K45" s="3">
        <f t="shared" si="2"/>
        <v>0</v>
      </c>
    </row>
    <row r="46" spans="1:11" ht="12.75">
      <c r="A46" s="4"/>
      <c r="C46" s="3"/>
      <c r="D46" s="3"/>
      <c r="E46" s="85"/>
      <c r="F46" s="86"/>
      <c r="G46" s="40"/>
      <c r="H46" s="2"/>
      <c r="I46" s="3"/>
      <c r="J46" s="3"/>
      <c r="K46" s="3"/>
    </row>
    <row r="47" spans="1:11" ht="12.75">
      <c r="A47" s="5" t="s">
        <v>48</v>
      </c>
      <c r="C47" s="3"/>
      <c r="D47" s="3"/>
      <c r="E47" s="85"/>
      <c r="F47" s="86"/>
      <c r="G47" s="88" t="s">
        <v>48</v>
      </c>
      <c r="H47" s="2"/>
      <c r="I47" s="3"/>
      <c r="J47" s="3"/>
      <c r="K47" s="3"/>
    </row>
    <row r="48" spans="1:11" ht="12.75">
      <c r="A48" s="148" t="s">
        <v>86</v>
      </c>
      <c r="B48" s="149" t="s">
        <v>91</v>
      </c>
      <c r="C48" s="143">
        <v>2</v>
      </c>
      <c r="D48" s="143">
        <v>6.58</v>
      </c>
      <c r="E48" s="150">
        <f>(C48*D48)</f>
        <v>13.16</v>
      </c>
      <c r="F48" s="86"/>
      <c r="G48" s="90"/>
      <c r="H48" s="25"/>
      <c r="I48" s="25"/>
      <c r="J48" s="25"/>
      <c r="K48" s="125">
        <f>(I48*J48)</f>
        <v>0</v>
      </c>
    </row>
    <row r="49" spans="1:11" ht="12.75">
      <c r="A49" s="148" t="s">
        <v>49</v>
      </c>
      <c r="B49" s="149" t="s">
        <v>92</v>
      </c>
      <c r="C49" s="143">
        <v>4</v>
      </c>
      <c r="D49" s="143">
        <v>4.07</v>
      </c>
      <c r="E49" s="150">
        <f>(C49*D49)</f>
        <v>16.28</v>
      </c>
      <c r="F49" s="86"/>
      <c r="G49" s="90"/>
      <c r="H49" s="25"/>
      <c r="I49" s="25"/>
      <c r="J49" s="25"/>
      <c r="K49" s="125">
        <f>(I49*J49)</f>
        <v>0</v>
      </c>
    </row>
    <row r="50" spans="1:11" ht="12.75">
      <c r="A50" s="4"/>
      <c r="C50" s="3"/>
      <c r="D50" s="3"/>
      <c r="E50" s="85"/>
      <c r="F50" s="86"/>
      <c r="G50" s="90"/>
      <c r="H50" s="25"/>
      <c r="I50" s="25"/>
      <c r="J50" s="25"/>
      <c r="K50" s="125">
        <f>(I50*J50)</f>
        <v>0</v>
      </c>
    </row>
    <row r="51" spans="5:11" ht="12.75">
      <c r="E51" s="83"/>
      <c r="F51" s="86"/>
      <c r="G51" s="90"/>
      <c r="H51" s="25"/>
      <c r="I51" s="25"/>
      <c r="J51" s="25"/>
      <c r="K51" s="125">
        <f>(I51*J51)</f>
        <v>0</v>
      </c>
    </row>
    <row r="52" spans="5:11" ht="12.75">
      <c r="E52" s="83"/>
      <c r="F52" s="86"/>
      <c r="G52" s="95"/>
      <c r="H52" s="96"/>
      <c r="I52" s="96"/>
      <c r="J52" s="96"/>
      <c r="K52" s="3"/>
    </row>
    <row r="53" spans="1:11" ht="12.75">
      <c r="A53" s="34" t="s">
        <v>50</v>
      </c>
      <c r="B53" s="30"/>
      <c r="C53" s="31"/>
      <c r="D53" s="31"/>
      <c r="E53" s="97"/>
      <c r="F53" s="86"/>
      <c r="G53" s="98" t="s">
        <v>50</v>
      </c>
      <c r="H53" s="30"/>
      <c r="I53" s="31"/>
      <c r="J53" s="31"/>
      <c r="K53" s="32"/>
    </row>
    <row r="54" spans="1:11" ht="12.75">
      <c r="A54" s="33" t="s">
        <v>112</v>
      </c>
      <c r="B54" s="35" t="s">
        <v>71</v>
      </c>
      <c r="C54" s="31">
        <v>0</v>
      </c>
      <c r="D54" s="105">
        <v>0</v>
      </c>
      <c r="E54" s="85">
        <f>(C54*D54)</f>
        <v>0</v>
      </c>
      <c r="F54" s="86"/>
      <c r="G54" s="90"/>
      <c r="H54" s="25"/>
      <c r="I54" s="25"/>
      <c r="J54" s="25"/>
      <c r="K54" s="125">
        <f>(I54*J54)</f>
        <v>0</v>
      </c>
    </row>
    <row r="55" spans="1:11" ht="12.75">
      <c r="A55" s="4"/>
      <c r="C55" s="3"/>
      <c r="D55" s="3"/>
      <c r="E55" s="85"/>
      <c r="F55" s="86"/>
      <c r="G55" s="90"/>
      <c r="H55" s="25"/>
      <c r="I55" s="25"/>
      <c r="J55" s="25"/>
      <c r="K55" s="125">
        <f>(I55*J55)</f>
        <v>0</v>
      </c>
    </row>
    <row r="56" spans="1:11" ht="12.75">
      <c r="A56" s="4"/>
      <c r="C56" s="3"/>
      <c r="D56" s="3"/>
      <c r="E56" s="85"/>
      <c r="F56" s="86"/>
      <c r="G56" s="90"/>
      <c r="H56" s="25"/>
      <c r="I56" s="25"/>
      <c r="J56" s="25"/>
      <c r="K56" s="125">
        <f>(I56*J56)</f>
        <v>0</v>
      </c>
    </row>
    <row r="57" spans="1:11" ht="12.75">
      <c r="A57" s="5"/>
      <c r="C57" s="3"/>
      <c r="D57" s="3"/>
      <c r="E57" s="85"/>
      <c r="F57" s="86"/>
      <c r="G57" s="90"/>
      <c r="H57" s="25"/>
      <c r="I57" s="25"/>
      <c r="J57" s="25"/>
      <c r="K57" s="125">
        <f>(I57*J57)</f>
        <v>0</v>
      </c>
    </row>
    <row r="58" spans="1:11" ht="12.75">
      <c r="A58" s="5"/>
      <c r="C58" s="3"/>
      <c r="D58" s="3"/>
      <c r="E58" s="85"/>
      <c r="F58" s="86"/>
      <c r="G58" s="95"/>
      <c r="H58" s="96"/>
      <c r="I58" s="96"/>
      <c r="J58" s="96"/>
      <c r="K58" s="3"/>
    </row>
    <row r="59" spans="1:11" ht="12.75">
      <c r="A59" s="5" t="s">
        <v>54</v>
      </c>
      <c r="C59" s="3"/>
      <c r="D59" s="3"/>
      <c r="E59" s="85"/>
      <c r="F59" s="86"/>
      <c r="G59" s="88" t="s">
        <v>54</v>
      </c>
      <c r="H59" s="2"/>
      <c r="I59" s="3"/>
      <c r="J59" s="3"/>
      <c r="K59" s="3"/>
    </row>
    <row r="60" spans="1:11" ht="12.75">
      <c r="A60" s="146" t="s">
        <v>121</v>
      </c>
      <c r="B60" s="2" t="s">
        <v>51</v>
      </c>
      <c r="C60" s="105">
        <v>7.03</v>
      </c>
      <c r="D60" s="31">
        <v>3.52</v>
      </c>
      <c r="E60" s="85">
        <f>(C60*D60)</f>
        <v>24.7456</v>
      </c>
      <c r="F60" s="86"/>
      <c r="G60" s="88" t="s">
        <v>52</v>
      </c>
      <c r="H60" s="2" t="s">
        <v>51</v>
      </c>
      <c r="I60" s="25"/>
      <c r="J60" s="25"/>
      <c r="K60" s="125">
        <f>(I60*J60)</f>
        <v>0</v>
      </c>
    </row>
    <row r="61" spans="1:11" ht="12.75">
      <c r="A61" s="146" t="s">
        <v>122</v>
      </c>
      <c r="B61" s="2" t="s">
        <v>51</v>
      </c>
      <c r="C61" s="105">
        <v>0.09</v>
      </c>
      <c r="D61" s="31">
        <v>3.21</v>
      </c>
      <c r="E61" s="85">
        <f>(C61*D61)</f>
        <v>0.2889</v>
      </c>
      <c r="F61" s="86"/>
      <c r="G61" s="88" t="s">
        <v>53</v>
      </c>
      <c r="H61" s="2" t="s">
        <v>51</v>
      </c>
      <c r="I61" s="25"/>
      <c r="J61" s="25"/>
      <c r="K61" s="125">
        <f>(I61*J61)</f>
        <v>0</v>
      </c>
    </row>
    <row r="62" spans="1:11" ht="12.75">
      <c r="A62" s="5" t="s">
        <v>55</v>
      </c>
      <c r="B62" s="2" t="s">
        <v>51</v>
      </c>
      <c r="C62" s="18">
        <v>0</v>
      </c>
      <c r="D62" s="109">
        <v>0</v>
      </c>
      <c r="E62" s="85">
        <f>(C62*D62)</f>
        <v>0</v>
      </c>
      <c r="F62" s="86"/>
      <c r="G62" s="88" t="s">
        <v>55</v>
      </c>
      <c r="H62" s="2" t="s">
        <v>51</v>
      </c>
      <c r="I62" s="25"/>
      <c r="J62" s="25"/>
      <c r="K62" s="125">
        <f>(I62*J62)</f>
        <v>0</v>
      </c>
    </row>
    <row r="63" spans="1:11" ht="12.75">
      <c r="A63" s="5" t="s">
        <v>14</v>
      </c>
      <c r="B63" s="2" t="s">
        <v>56</v>
      </c>
      <c r="C63" s="18">
        <v>0</v>
      </c>
      <c r="D63" s="109">
        <v>0</v>
      </c>
      <c r="E63" s="85">
        <f>(C63*D63)</f>
        <v>0</v>
      </c>
      <c r="F63" s="86"/>
      <c r="G63" s="88" t="s">
        <v>14</v>
      </c>
      <c r="H63" s="2" t="s">
        <v>56</v>
      </c>
      <c r="I63" s="25"/>
      <c r="J63" s="25"/>
      <c r="K63" s="125">
        <f>(I63*J63)</f>
        <v>0</v>
      </c>
    </row>
    <row r="64" spans="1:11" ht="12.75">
      <c r="A64" s="5" t="s">
        <v>15</v>
      </c>
      <c r="B64" s="2" t="s">
        <v>1</v>
      </c>
      <c r="C64" s="18">
        <v>1</v>
      </c>
      <c r="D64" s="18">
        <f>(E60+E61)*0.15</f>
        <v>3.755175</v>
      </c>
      <c r="E64" s="85">
        <f>(C64*D64)</f>
        <v>3.755175</v>
      </c>
      <c r="F64" s="86"/>
      <c r="G64" s="88" t="s">
        <v>15</v>
      </c>
      <c r="H64" s="2" t="s">
        <v>1</v>
      </c>
      <c r="I64" s="25"/>
      <c r="J64" s="25"/>
      <c r="K64" s="125">
        <f>(I64*J64)</f>
        <v>0</v>
      </c>
    </row>
    <row r="65" spans="1:11" ht="12.75">
      <c r="A65" s="5"/>
      <c r="C65" s="3"/>
      <c r="D65" s="32"/>
      <c r="E65" s="85"/>
      <c r="F65" s="86"/>
      <c r="G65" s="88"/>
      <c r="H65" s="2"/>
      <c r="I65" s="3"/>
      <c r="J65" s="3"/>
      <c r="K65" s="3"/>
    </row>
    <row r="66" spans="1:11" ht="12.75">
      <c r="A66" s="5" t="s">
        <v>57</v>
      </c>
      <c r="E66" s="83"/>
      <c r="F66" s="44"/>
      <c r="G66" s="88" t="s">
        <v>57</v>
      </c>
      <c r="H66" s="2"/>
      <c r="I66" s="2"/>
      <c r="J66" s="2"/>
      <c r="K66" s="2"/>
    </row>
    <row r="67" spans="1:11" ht="12.75">
      <c r="A67" s="7" t="s">
        <v>58</v>
      </c>
      <c r="B67" s="2" t="s">
        <v>1</v>
      </c>
      <c r="C67" s="3">
        <v>1</v>
      </c>
      <c r="D67" s="143">
        <v>29.49</v>
      </c>
      <c r="E67" s="85">
        <f>(C67*D67)</f>
        <v>29.49</v>
      </c>
      <c r="F67" s="86"/>
      <c r="G67" s="88" t="s">
        <v>58</v>
      </c>
      <c r="H67" s="2" t="s">
        <v>1</v>
      </c>
      <c r="I67" s="25"/>
      <c r="J67" s="25"/>
      <c r="K67" s="125">
        <f>(I67*J67)</f>
        <v>0</v>
      </c>
    </row>
    <row r="68" spans="1:11" ht="12.75">
      <c r="A68" s="7" t="s">
        <v>59</v>
      </c>
      <c r="B68" s="2" t="s">
        <v>1</v>
      </c>
      <c r="C68" s="3">
        <v>1</v>
      </c>
      <c r="D68" s="105">
        <v>11.03</v>
      </c>
      <c r="E68" s="85">
        <f>(C68*D68)</f>
        <v>11.03</v>
      </c>
      <c r="F68" s="86"/>
      <c r="G68" s="88" t="s">
        <v>59</v>
      </c>
      <c r="H68" s="2" t="s">
        <v>1</v>
      </c>
      <c r="I68" s="25"/>
      <c r="J68" s="25"/>
      <c r="K68" s="125">
        <f>(I68*J68)</f>
        <v>0</v>
      </c>
    </row>
    <row r="69" spans="1:11" ht="12.75">
      <c r="A69" s="7" t="s">
        <v>60</v>
      </c>
      <c r="B69" s="2" t="s">
        <v>1</v>
      </c>
      <c r="C69" s="3">
        <v>0</v>
      </c>
      <c r="D69" s="18">
        <v>0</v>
      </c>
      <c r="E69" s="85">
        <f>(C69*D69)</f>
        <v>0</v>
      </c>
      <c r="F69" s="86"/>
      <c r="G69" s="88" t="s">
        <v>60</v>
      </c>
      <c r="H69" s="2" t="s">
        <v>1</v>
      </c>
      <c r="I69" s="25"/>
      <c r="J69" s="25"/>
      <c r="K69" s="125">
        <f>(I69*J69)</f>
        <v>0</v>
      </c>
    </row>
    <row r="70" spans="1:11" ht="12.75">
      <c r="A70" s="5"/>
      <c r="C70" s="3"/>
      <c r="D70" s="32"/>
      <c r="E70" s="85"/>
      <c r="F70" s="86"/>
      <c r="G70" s="88"/>
      <c r="H70" s="2"/>
      <c r="I70" s="96"/>
      <c r="J70" s="96"/>
      <c r="K70" s="3"/>
    </row>
    <row r="71" spans="1:11" ht="14.25">
      <c r="A71" s="5"/>
      <c r="C71" s="3"/>
      <c r="D71" s="3"/>
      <c r="E71" s="85"/>
      <c r="F71" s="86"/>
      <c r="G71" s="88" t="s">
        <v>105</v>
      </c>
      <c r="H71" s="2" t="s">
        <v>1</v>
      </c>
      <c r="I71" s="25"/>
      <c r="J71" s="25"/>
      <c r="K71" s="125">
        <f>(I71*J71)</f>
        <v>0</v>
      </c>
    </row>
    <row r="72" spans="1:11" ht="12.75">
      <c r="A72" s="5"/>
      <c r="C72" s="3"/>
      <c r="D72" s="3"/>
      <c r="E72" s="85"/>
      <c r="F72" s="86"/>
      <c r="G72" s="88"/>
      <c r="H72" s="2"/>
      <c r="I72" s="3"/>
      <c r="J72" s="3"/>
      <c r="K72" s="3"/>
    </row>
    <row r="73" spans="1:11" ht="12.75">
      <c r="A73" s="4" t="s">
        <v>11</v>
      </c>
      <c r="C73" s="3"/>
      <c r="D73" s="3"/>
      <c r="E73" s="85">
        <f>SUM(E28:E72)</f>
        <v>418.9316750000001</v>
      </c>
      <c r="F73" s="86"/>
      <c r="G73" s="40" t="s">
        <v>11</v>
      </c>
      <c r="H73" s="2"/>
      <c r="I73" s="3"/>
      <c r="J73" s="3"/>
      <c r="K73" s="86">
        <f>SUM(K28:K72)</f>
        <v>0</v>
      </c>
    </row>
    <row r="74" spans="1:11" ht="12.75">
      <c r="A74" s="5"/>
      <c r="C74" s="3"/>
      <c r="D74" s="3"/>
      <c r="E74" s="85"/>
      <c r="F74" s="86"/>
      <c r="G74" s="88"/>
      <c r="H74" s="2"/>
      <c r="I74" s="3"/>
      <c r="J74" s="3"/>
      <c r="K74" s="3"/>
    </row>
    <row r="75" spans="1:11" ht="12.75">
      <c r="A75" s="4" t="s">
        <v>7</v>
      </c>
      <c r="B75" s="2" t="s">
        <v>1</v>
      </c>
      <c r="C75" s="3">
        <f>(E73)</f>
        <v>418.9316750000001</v>
      </c>
      <c r="D75" s="8">
        <v>0.0399</v>
      </c>
      <c r="E75" s="85">
        <f>(C75*D75)/2</f>
        <v>8.357686916250001</v>
      </c>
      <c r="F75" s="86"/>
      <c r="G75" s="40" t="s">
        <v>7</v>
      </c>
      <c r="H75" s="2" t="s">
        <v>1</v>
      </c>
      <c r="I75" s="42"/>
      <c r="J75" s="41">
        <f>K71</f>
        <v>0</v>
      </c>
      <c r="K75" s="86">
        <f>((I75*J75))/2</f>
        <v>0</v>
      </c>
    </row>
    <row r="76" spans="1:11" ht="12.75">
      <c r="A76" s="4"/>
      <c r="C76" s="3"/>
      <c r="D76" s="8"/>
      <c r="E76" s="85"/>
      <c r="F76" s="86"/>
      <c r="G76" s="127" t="s">
        <v>110</v>
      </c>
      <c r="H76" s="2"/>
      <c r="I76" s="36"/>
      <c r="J76" s="96"/>
      <c r="K76" s="3"/>
    </row>
    <row r="77" spans="1:11" ht="12.75">
      <c r="A77" s="4"/>
      <c r="C77" s="3"/>
      <c r="D77" s="8"/>
      <c r="E77" s="85"/>
      <c r="F77" s="86"/>
      <c r="G77" s="40"/>
      <c r="H77" s="2"/>
      <c r="I77" s="3"/>
      <c r="J77" s="8"/>
      <c r="K77" s="3"/>
    </row>
    <row r="78" spans="1:11" ht="12.75">
      <c r="A78" s="110" t="s">
        <v>94</v>
      </c>
      <c r="B78" s="30"/>
      <c r="C78" s="31"/>
      <c r="D78" s="111"/>
      <c r="E78" s="43">
        <f>SUM(E73:E75)</f>
        <v>427.2893619162501</v>
      </c>
      <c r="F78" s="113"/>
      <c r="G78" s="110" t="s">
        <v>94</v>
      </c>
      <c r="H78" s="2"/>
      <c r="I78" s="3"/>
      <c r="J78" s="8"/>
      <c r="K78" s="10">
        <f>SUM(K73:K75)</f>
        <v>0</v>
      </c>
    </row>
    <row r="79" spans="1:11" ht="12.75">
      <c r="A79" s="33"/>
      <c r="B79" s="30"/>
      <c r="C79" s="31"/>
      <c r="D79" s="111"/>
      <c r="E79" s="32"/>
      <c r="F79" s="113"/>
      <c r="G79" s="114"/>
      <c r="H79" s="2"/>
      <c r="I79" s="3"/>
      <c r="J79" s="8"/>
      <c r="K79" s="10"/>
    </row>
    <row r="80" spans="1:11" ht="12.75">
      <c r="A80" s="110" t="s">
        <v>97</v>
      </c>
      <c r="B80" s="30"/>
      <c r="C80" s="31"/>
      <c r="D80" s="111"/>
      <c r="E80" s="112">
        <f>(E78/C18)</f>
        <v>2.7567055607500004</v>
      </c>
      <c r="F80" s="113"/>
      <c r="G80" s="110" t="s">
        <v>97</v>
      </c>
      <c r="H80" s="30"/>
      <c r="I80" s="31"/>
      <c r="J80" s="111"/>
      <c r="K80" s="112" t="e">
        <f>(K78/I18)</f>
        <v>#DIV/0!</v>
      </c>
    </row>
    <row r="81" spans="1:11" ht="12.75">
      <c r="A81" s="5"/>
      <c r="C81" s="3"/>
      <c r="D81" s="3"/>
      <c r="E81" s="85"/>
      <c r="F81" s="86"/>
      <c r="G81" s="88"/>
      <c r="H81" s="2"/>
      <c r="I81" s="3"/>
      <c r="J81" s="3"/>
      <c r="K81" s="3"/>
    </row>
    <row r="82" spans="1:11" ht="12.75">
      <c r="A82" s="9" t="s">
        <v>8</v>
      </c>
      <c r="C82" s="3"/>
      <c r="D82" s="3"/>
      <c r="E82" s="85"/>
      <c r="F82" s="86"/>
      <c r="G82" s="84" t="s">
        <v>8</v>
      </c>
      <c r="H82" s="2"/>
      <c r="I82" s="3"/>
      <c r="J82" s="3"/>
      <c r="K82" s="3"/>
    </row>
    <row r="83" spans="1:11" ht="12.75">
      <c r="A83" s="5"/>
      <c r="C83" s="3"/>
      <c r="D83" s="3"/>
      <c r="E83" s="85"/>
      <c r="F83" s="86"/>
      <c r="G83" s="88"/>
      <c r="H83" s="2"/>
      <c r="I83" s="3"/>
      <c r="J83" s="3"/>
      <c r="K83" s="3"/>
    </row>
    <row r="84" spans="1:11" ht="12.75">
      <c r="A84" s="1"/>
      <c r="B84" s="12" t="s">
        <v>2</v>
      </c>
      <c r="C84" s="12" t="s">
        <v>3</v>
      </c>
      <c r="D84" s="12" t="s">
        <v>4</v>
      </c>
      <c r="E84" s="115" t="s">
        <v>5</v>
      </c>
      <c r="F84" s="116"/>
      <c r="G84" s="87"/>
      <c r="H84" s="12" t="s">
        <v>2</v>
      </c>
      <c r="I84" s="12" t="s">
        <v>3</v>
      </c>
      <c r="J84" s="12" t="s">
        <v>4</v>
      </c>
      <c r="K84" s="12" t="s">
        <v>5</v>
      </c>
    </row>
    <row r="85" spans="1:11" ht="12.75">
      <c r="A85" s="6"/>
      <c r="B85" s="12"/>
      <c r="C85" s="12"/>
      <c r="D85" s="12" t="s">
        <v>0</v>
      </c>
      <c r="E85" s="115" t="s">
        <v>6</v>
      </c>
      <c r="F85" s="116"/>
      <c r="G85" s="99"/>
      <c r="H85" s="12"/>
      <c r="I85" s="12"/>
      <c r="J85" s="12" t="s">
        <v>0</v>
      </c>
      <c r="K85" s="12" t="s">
        <v>6</v>
      </c>
    </row>
    <row r="86" spans="1:11" ht="12.75">
      <c r="A86" s="6"/>
      <c r="C86" s="3"/>
      <c r="D86" s="3"/>
      <c r="E86" s="85"/>
      <c r="F86" s="86"/>
      <c r="G86" s="99"/>
      <c r="H86" s="2"/>
      <c r="I86" s="3"/>
      <c r="J86" s="3"/>
      <c r="K86" s="3"/>
    </row>
    <row r="87" spans="1:11" ht="12.75">
      <c r="A87" s="7" t="s">
        <v>99</v>
      </c>
      <c r="B87" s="2" t="s">
        <v>61</v>
      </c>
      <c r="C87" s="3">
        <v>0</v>
      </c>
      <c r="D87" s="3">
        <v>0</v>
      </c>
      <c r="E87" s="85">
        <f>(C87*D87)</f>
        <v>0</v>
      </c>
      <c r="F87" s="86"/>
      <c r="G87" s="100" t="s">
        <v>111</v>
      </c>
      <c r="H87" s="2" t="s">
        <v>61</v>
      </c>
      <c r="I87" s="42"/>
      <c r="J87" s="41">
        <v>0</v>
      </c>
      <c r="K87" s="86">
        <f>(I87*J87)</f>
        <v>0</v>
      </c>
    </row>
    <row r="88" spans="1:11" ht="12.75">
      <c r="A88" s="7"/>
      <c r="C88" s="3"/>
      <c r="D88" s="3"/>
      <c r="E88" s="85"/>
      <c r="F88" s="86"/>
      <c r="G88" s="100"/>
      <c r="H88" s="2"/>
      <c r="I88" s="96"/>
      <c r="J88" s="96"/>
      <c r="K88" s="86"/>
    </row>
    <row r="89" spans="1:11" ht="12.75">
      <c r="A89" s="101" t="s">
        <v>75</v>
      </c>
      <c r="B89" s="2" t="s">
        <v>1</v>
      </c>
      <c r="C89" s="96">
        <v>1</v>
      </c>
      <c r="D89" s="96">
        <v>123.6</v>
      </c>
      <c r="E89" s="85">
        <f>(C89*D89)</f>
        <v>123.6</v>
      </c>
      <c r="F89" s="86"/>
      <c r="G89" s="100" t="s">
        <v>75</v>
      </c>
      <c r="H89" s="2" t="s">
        <v>1</v>
      </c>
      <c r="I89" s="25"/>
      <c r="J89" s="25"/>
      <c r="K89" s="86">
        <f>(I89*J89)</f>
        <v>0</v>
      </c>
    </row>
    <row r="90" spans="1:11" ht="12.75">
      <c r="A90" s="7"/>
      <c r="C90" s="8"/>
      <c r="D90" s="3"/>
      <c r="E90" s="85"/>
      <c r="F90" s="86"/>
      <c r="G90" s="100"/>
      <c r="H90" s="2"/>
      <c r="I90" s="8"/>
      <c r="J90" s="3"/>
      <c r="K90" s="86"/>
    </row>
    <row r="91" spans="1:11" ht="12.75">
      <c r="A91" s="7" t="s">
        <v>9</v>
      </c>
      <c r="B91" s="2" t="s">
        <v>10</v>
      </c>
      <c r="C91" s="3">
        <v>0.85</v>
      </c>
      <c r="D91" s="3">
        <v>10</v>
      </c>
      <c r="E91" s="85">
        <f>(C91*D91)</f>
        <v>8.5</v>
      </c>
      <c r="F91" s="86"/>
      <c r="G91" s="100" t="s">
        <v>9</v>
      </c>
      <c r="H91" s="2" t="s">
        <v>10</v>
      </c>
      <c r="I91" s="25"/>
      <c r="J91" s="25"/>
      <c r="K91" s="86">
        <f>(I91*J91)</f>
        <v>0</v>
      </c>
    </row>
    <row r="92" spans="1:11" ht="12.75">
      <c r="A92" s="7"/>
      <c r="C92" s="3"/>
      <c r="D92" s="3"/>
      <c r="E92" s="85"/>
      <c r="F92" s="86"/>
      <c r="G92" s="100"/>
      <c r="H92" s="2"/>
      <c r="I92" s="3"/>
      <c r="J92" s="3"/>
      <c r="K92" s="86"/>
    </row>
    <row r="93" spans="1:11" ht="12.75">
      <c r="A93" s="7" t="s">
        <v>62</v>
      </c>
      <c r="C93" s="3"/>
      <c r="D93" s="3"/>
      <c r="E93" s="85"/>
      <c r="F93" s="86"/>
      <c r="G93" s="100" t="s">
        <v>62</v>
      </c>
      <c r="H93" s="2"/>
      <c r="I93" s="3"/>
      <c r="J93" s="3"/>
      <c r="K93" s="86"/>
    </row>
    <row r="94" spans="1:15" ht="15">
      <c r="A94" s="7" t="s">
        <v>58</v>
      </c>
      <c r="B94" s="2" t="s">
        <v>1</v>
      </c>
      <c r="C94" s="3">
        <v>1</v>
      </c>
      <c r="D94" s="105">
        <v>14.25</v>
      </c>
      <c r="E94" s="85">
        <f>(C94*D94)</f>
        <v>14.25</v>
      </c>
      <c r="F94" s="86"/>
      <c r="G94" s="88" t="s">
        <v>58</v>
      </c>
      <c r="H94" s="2" t="s">
        <v>1</v>
      </c>
      <c r="I94" s="25"/>
      <c r="J94" s="25"/>
      <c r="K94" s="86">
        <f>(I94*J94)</f>
        <v>0</v>
      </c>
      <c r="O94" s="134"/>
    </row>
    <row r="95" spans="1:15" ht="15">
      <c r="A95" s="7" t="s">
        <v>59</v>
      </c>
      <c r="B95" s="2" t="s">
        <v>1</v>
      </c>
      <c r="C95" s="3">
        <v>1</v>
      </c>
      <c r="D95" s="105">
        <v>7.08</v>
      </c>
      <c r="E95" s="85">
        <f>(C95*D95)</f>
        <v>7.08</v>
      </c>
      <c r="F95" s="86"/>
      <c r="G95" s="88" t="s">
        <v>59</v>
      </c>
      <c r="H95" s="2" t="s">
        <v>1</v>
      </c>
      <c r="I95" s="25"/>
      <c r="J95" s="25"/>
      <c r="K95" s="86">
        <f>(I95*J95)</f>
        <v>0</v>
      </c>
      <c r="O95" s="134"/>
    </row>
    <row r="96" spans="1:15" ht="15">
      <c r="A96" s="7" t="s">
        <v>60</v>
      </c>
      <c r="B96" s="2" t="s">
        <v>1</v>
      </c>
      <c r="C96" s="3">
        <v>0</v>
      </c>
      <c r="D96" s="105">
        <v>0</v>
      </c>
      <c r="E96" s="85">
        <f>(C96*D96)</f>
        <v>0</v>
      </c>
      <c r="F96" s="86"/>
      <c r="G96" s="88" t="s">
        <v>60</v>
      </c>
      <c r="H96" s="2" t="s">
        <v>1</v>
      </c>
      <c r="I96" s="25"/>
      <c r="J96" s="25"/>
      <c r="K96" s="86">
        <f>(I96*J96)</f>
        <v>0</v>
      </c>
      <c r="O96" s="134"/>
    </row>
    <row r="97" spans="1:11" ht="12.75">
      <c r="A97" s="5"/>
      <c r="C97" s="3"/>
      <c r="D97" s="32"/>
      <c r="E97" s="85"/>
      <c r="F97" s="86"/>
      <c r="G97" s="88"/>
      <c r="H97" s="2"/>
      <c r="I97" s="3"/>
      <c r="J97" s="3"/>
      <c r="K97" s="86"/>
    </row>
    <row r="98" spans="1:11" ht="12.75">
      <c r="A98" s="7" t="s">
        <v>63</v>
      </c>
      <c r="C98" s="3"/>
      <c r="D98" s="18"/>
      <c r="E98" s="85"/>
      <c r="F98" s="86"/>
      <c r="G98" s="100" t="s">
        <v>63</v>
      </c>
      <c r="H98" s="2"/>
      <c r="I98" s="3"/>
      <c r="J98" s="3"/>
      <c r="K98" s="86"/>
    </row>
    <row r="99" spans="1:11" ht="12.75">
      <c r="A99" s="7" t="s">
        <v>58</v>
      </c>
      <c r="B99" s="2" t="s">
        <v>1</v>
      </c>
      <c r="C99" s="3">
        <v>1</v>
      </c>
      <c r="D99" s="18">
        <v>16.31</v>
      </c>
      <c r="E99" s="85">
        <f>(C99*D99)</f>
        <v>16.31</v>
      </c>
      <c r="F99" s="86"/>
      <c r="G99" s="88" t="s">
        <v>58</v>
      </c>
      <c r="H99" s="2" t="s">
        <v>1</v>
      </c>
      <c r="I99" s="25"/>
      <c r="J99" s="25"/>
      <c r="K99" s="86">
        <f>(I99*J99)</f>
        <v>0</v>
      </c>
    </row>
    <row r="100" spans="1:11" ht="12.75">
      <c r="A100" s="7" t="s">
        <v>59</v>
      </c>
      <c r="B100" s="2" t="s">
        <v>1</v>
      </c>
      <c r="C100" s="3">
        <v>1</v>
      </c>
      <c r="D100" s="18">
        <v>16.08</v>
      </c>
      <c r="E100" s="85">
        <f>(C100*D100)</f>
        <v>16.08</v>
      </c>
      <c r="F100" s="86"/>
      <c r="G100" s="88" t="s">
        <v>59</v>
      </c>
      <c r="H100" s="2" t="s">
        <v>1</v>
      </c>
      <c r="I100" s="25"/>
      <c r="J100" s="25"/>
      <c r="K100" s="86">
        <f>(I100*J100)</f>
        <v>0</v>
      </c>
    </row>
    <row r="101" spans="1:11" ht="12.75">
      <c r="A101" s="7" t="s">
        <v>60</v>
      </c>
      <c r="B101" s="2" t="s">
        <v>1</v>
      </c>
      <c r="C101" s="3">
        <v>0</v>
      </c>
      <c r="D101" s="18">
        <v>0</v>
      </c>
      <c r="E101" s="85">
        <f>(C101*D101)</f>
        <v>0</v>
      </c>
      <c r="F101" s="86"/>
      <c r="G101" s="88" t="s">
        <v>60</v>
      </c>
      <c r="H101" s="2" t="s">
        <v>1</v>
      </c>
      <c r="I101" s="25"/>
      <c r="J101" s="25"/>
      <c r="K101" s="86">
        <f>(I101*J101)</f>
        <v>0</v>
      </c>
    </row>
    <row r="102" spans="4:11" ht="12.75">
      <c r="D102" s="32"/>
      <c r="E102" s="83"/>
      <c r="F102" s="44"/>
      <c r="G102" s="81"/>
      <c r="H102" s="2"/>
      <c r="I102" s="2"/>
      <c r="J102" s="2"/>
      <c r="K102" s="2"/>
    </row>
    <row r="103" spans="1:11" ht="12.75">
      <c r="A103" s="110" t="s">
        <v>100</v>
      </c>
      <c r="B103" s="12"/>
      <c r="C103" s="12"/>
      <c r="D103" s="12"/>
      <c r="E103" s="43">
        <f>SUM(E87:E102)</f>
        <v>185.82</v>
      </c>
      <c r="F103" s="16"/>
      <c r="G103" s="117" t="s">
        <v>100</v>
      </c>
      <c r="H103" s="12"/>
      <c r="I103" s="12"/>
      <c r="J103" s="12"/>
      <c r="K103" s="10">
        <f>SUM(K87:K102)</f>
        <v>0</v>
      </c>
    </row>
    <row r="104" spans="5:11" ht="12.75">
      <c r="E104" s="83"/>
      <c r="F104" s="44"/>
      <c r="G104" s="81"/>
      <c r="H104" s="2"/>
      <c r="I104" s="2"/>
      <c r="J104" s="2"/>
      <c r="K104" s="2"/>
    </row>
    <row r="105" spans="1:11" ht="12.75">
      <c r="A105" s="118" t="s">
        <v>95</v>
      </c>
      <c r="E105" s="43">
        <f>(E78+E103)</f>
        <v>613.10936191625</v>
      </c>
      <c r="F105" s="16"/>
      <c r="G105" s="119" t="s">
        <v>95</v>
      </c>
      <c r="H105" s="44"/>
      <c r="I105" s="44"/>
      <c r="J105" s="44"/>
      <c r="K105" s="16">
        <f>(K78+K103)</f>
        <v>0</v>
      </c>
    </row>
    <row r="106" spans="1:11" ht="12.75">
      <c r="A106" s="118"/>
      <c r="E106" s="83"/>
      <c r="F106" s="44"/>
      <c r="G106" s="119"/>
      <c r="H106" s="44"/>
      <c r="I106" s="44"/>
      <c r="J106" s="44"/>
      <c r="K106" s="44"/>
    </row>
    <row r="107" spans="1:11" ht="12.75">
      <c r="A107" s="120" t="s">
        <v>98</v>
      </c>
      <c r="E107" s="43">
        <f>(E21-E78)</f>
        <v>268.66063808375</v>
      </c>
      <c r="F107" s="16"/>
      <c r="G107" s="121" t="s">
        <v>98</v>
      </c>
      <c r="H107" s="44"/>
      <c r="I107" s="44"/>
      <c r="J107" s="44"/>
      <c r="K107" s="16">
        <f>(K21-K78)</f>
        <v>0</v>
      </c>
    </row>
    <row r="108" spans="1:11" ht="12.75">
      <c r="A108" s="1"/>
      <c r="E108" s="16"/>
      <c r="F108" s="24"/>
      <c r="G108" s="1"/>
      <c r="H108" s="2"/>
      <c r="I108" s="2"/>
      <c r="J108" s="2"/>
      <c r="K108" s="16"/>
    </row>
    <row r="109" spans="1:11" ht="12.75">
      <c r="A109" s="118" t="s">
        <v>96</v>
      </c>
      <c r="B109" s="30"/>
      <c r="C109" s="30"/>
      <c r="D109" s="30"/>
      <c r="E109" s="112">
        <f>(E21-E105)</f>
        <v>82.84063808375004</v>
      </c>
      <c r="F109" s="122"/>
      <c r="G109" s="118" t="s">
        <v>96</v>
      </c>
      <c r="H109" s="2"/>
      <c r="I109" s="2"/>
      <c r="J109" s="2"/>
      <c r="K109" s="112">
        <f>(K21-K105)</f>
        <v>0</v>
      </c>
    </row>
    <row r="110" spans="1:11" s="14" customFormat="1" ht="12.75">
      <c r="A110" s="1"/>
      <c r="B110" s="2"/>
      <c r="C110" s="2"/>
      <c r="D110" s="2"/>
      <c r="E110" s="16"/>
      <c r="F110" s="24"/>
      <c r="G110" s="1"/>
      <c r="H110" s="2"/>
      <c r="I110" s="2"/>
      <c r="J110" s="2"/>
      <c r="K110" s="16"/>
    </row>
    <row r="111" spans="1:11" ht="12.75">
      <c r="A111" s="1" t="s">
        <v>113</v>
      </c>
      <c r="B111" s="2" t="s">
        <v>77</v>
      </c>
      <c r="E111" s="43">
        <f>E105/C18</f>
        <v>3.9555442704274193</v>
      </c>
      <c r="F111" s="24"/>
      <c r="G111" s="1" t="s">
        <v>93</v>
      </c>
      <c r="H111" s="2" t="s">
        <v>77</v>
      </c>
      <c r="I111" s="2"/>
      <c r="J111" s="2"/>
      <c r="K111" s="16" t="e">
        <f>K105/I18</f>
        <v>#DIV/0!</v>
      </c>
    </row>
    <row r="112" spans="1:11" ht="12.75">
      <c r="A112" s="1"/>
      <c r="E112" s="16"/>
      <c r="F112" s="44"/>
      <c r="G112" s="1"/>
      <c r="H112" s="2"/>
      <c r="I112" s="2"/>
      <c r="J112" s="2"/>
      <c r="K112" s="16"/>
    </row>
    <row r="113" spans="1:11" ht="12.75">
      <c r="A113" s="1"/>
      <c r="E113" s="16"/>
      <c r="F113" s="44"/>
      <c r="G113" s="1"/>
      <c r="H113" s="2"/>
      <c r="I113" s="2"/>
      <c r="J113" s="2"/>
      <c r="K113" s="16"/>
    </row>
    <row r="114" spans="1:11" ht="14.25">
      <c r="A114" s="123" t="s">
        <v>126</v>
      </c>
      <c r="E114" s="16"/>
      <c r="F114" s="44"/>
      <c r="G114" s="1"/>
      <c r="H114" s="2"/>
      <c r="I114" s="2"/>
      <c r="J114" s="2"/>
      <c r="K114" s="16"/>
    </row>
    <row r="115" spans="1:11" ht="14.25">
      <c r="A115" s="124"/>
      <c r="E115" s="16"/>
      <c r="F115" s="44"/>
      <c r="G115" s="1"/>
      <c r="H115" s="2"/>
      <c r="I115" s="2"/>
      <c r="J115" s="2"/>
      <c r="K115" s="16"/>
    </row>
    <row r="116" spans="1:11" ht="14.25">
      <c r="A116" s="17" t="s">
        <v>106</v>
      </c>
      <c r="E116" s="16"/>
      <c r="F116" s="16"/>
      <c r="G116" s="1"/>
      <c r="H116" s="2"/>
      <c r="I116" s="2"/>
      <c r="J116" s="2"/>
      <c r="K116" s="10"/>
    </row>
    <row r="117" spans="1:11" ht="12.75">
      <c r="A117" s="14" t="s">
        <v>76</v>
      </c>
      <c r="E117" s="16"/>
      <c r="F117" s="16"/>
      <c r="G117" s="1"/>
      <c r="H117" s="2"/>
      <c r="I117" s="2"/>
      <c r="J117" s="2"/>
      <c r="K117" s="10"/>
    </row>
    <row r="118" spans="1:7" ht="12.75">
      <c r="A118" s="102" t="s">
        <v>116</v>
      </c>
      <c r="E118" s="3"/>
      <c r="F118" s="3"/>
      <c r="G118" s="1"/>
    </row>
    <row r="119" spans="1:7" ht="12.75">
      <c r="A119" s="37"/>
      <c r="E119" s="3"/>
      <c r="F119" s="3"/>
      <c r="G119" s="1"/>
    </row>
    <row r="120" spans="1:7" ht="12.75">
      <c r="A120" s="142" t="s">
        <v>120</v>
      </c>
      <c r="E120" s="3"/>
      <c r="F120" s="3"/>
      <c r="G120" s="1"/>
    </row>
    <row r="121" spans="1:7" ht="12.75">
      <c r="A121" s="142"/>
      <c r="E121" s="3"/>
      <c r="F121" s="3"/>
      <c r="G121" s="1"/>
    </row>
    <row r="122" spans="1:7" ht="12.75">
      <c r="A122" s="142" t="s">
        <v>127</v>
      </c>
      <c r="E122" s="3"/>
      <c r="F122" s="3"/>
      <c r="G122" s="1"/>
    </row>
    <row r="123" ht="12.75">
      <c r="A123" t="s">
        <v>30</v>
      </c>
    </row>
    <row r="127" ht="12.75"/>
    <row r="128" ht="12.75"/>
    <row r="129" ht="12.75"/>
    <row r="130" ht="12.75"/>
    <row r="131" ht="12.75"/>
    <row r="132" ht="12.75"/>
    <row r="133" ht="12.75"/>
  </sheetData>
  <sheetProtection password="C610" sheet="1"/>
  <mergeCells count="1">
    <mergeCell ref="J2:J4"/>
  </mergeCells>
  <hyperlinks>
    <hyperlink ref="A118" r:id="rId1" display="  Wisconsin's 2010 Custom Rate Guide.  "/>
  </hyperlinks>
  <printOptions/>
  <pageMargins left="0.75" right="0.75" top="1" bottom="1" header="0.5" footer="0.5"/>
  <pageSetup horizontalDpi="300" verticalDpi="300" orientation="landscape" scale="73" r:id="rId3"/>
  <rowBreaks count="2" manualBreakCount="2">
    <brk id="49" max="10" man="1"/>
    <brk id="82" max="10" man="1"/>
  </rowBreaks>
  <ignoredErrors>
    <ignoredError sqref="K80 K11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6"/>
  <sheetViews>
    <sheetView zoomScale="75" zoomScaleNormal="75" zoomScalePageLayoutView="0" workbookViewId="0" topLeftCell="A1">
      <selection activeCell="G42" sqref="G42"/>
    </sheetView>
  </sheetViews>
  <sheetFormatPr defaultColWidth="9.140625" defaultRowHeight="12.75"/>
  <cols>
    <col min="1" max="1" width="9.28125" style="0" customWidth="1"/>
    <col min="2" max="2" width="13.1406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26.25">
      <c r="G3" s="45"/>
    </row>
    <row r="6" ht="15.75">
      <c r="A6" s="147" t="s">
        <v>129</v>
      </c>
    </row>
    <row r="7" ht="12.75">
      <c r="A7" s="1"/>
    </row>
    <row r="8" ht="12.75">
      <c r="A8" s="1"/>
    </row>
    <row r="9" ht="12.75">
      <c r="A9" s="1"/>
    </row>
    <row r="10" spans="5:14" ht="15.75">
      <c r="E10" s="154" t="s">
        <v>67</v>
      </c>
      <c r="F10" s="154"/>
      <c r="M10" s="154" t="s">
        <v>68</v>
      </c>
      <c r="N10" s="154"/>
    </row>
    <row r="12" spans="3:16" ht="12.75">
      <c r="C12" s="1"/>
      <c r="D12" s="1"/>
      <c r="E12" s="153" t="s">
        <v>78</v>
      </c>
      <c r="F12" s="153"/>
      <c r="G12" s="1"/>
      <c r="H12" s="1"/>
      <c r="K12" s="1"/>
      <c r="L12" s="1"/>
      <c r="M12" s="153" t="s">
        <v>78</v>
      </c>
      <c r="N12" s="153"/>
      <c r="O12" s="1"/>
      <c r="P12" s="1"/>
    </row>
    <row r="13" spans="3:16" ht="12.75">
      <c r="C13" s="1" t="s">
        <v>79</v>
      </c>
      <c r="D13" s="1"/>
      <c r="E13" s="1"/>
      <c r="F13" s="1"/>
      <c r="G13" s="1"/>
      <c r="H13" s="1"/>
      <c r="K13" s="1" t="s">
        <v>80</v>
      </c>
      <c r="L13" s="1"/>
      <c r="M13" s="1"/>
      <c r="N13" s="1"/>
      <c r="O13" s="1"/>
      <c r="P13" s="1"/>
    </row>
    <row r="16" spans="4:16" ht="13.5" thickBot="1">
      <c r="D16" s="46">
        <v>-0.2</v>
      </c>
      <c r="E16" s="46">
        <v>-0.1</v>
      </c>
      <c r="F16" s="12" t="s">
        <v>4</v>
      </c>
      <c r="G16" s="47" t="s">
        <v>81</v>
      </c>
      <c r="H16" s="47" t="s">
        <v>82</v>
      </c>
      <c r="L16" s="46">
        <v>-0.2</v>
      </c>
      <c r="M16" s="46">
        <v>-0.1</v>
      </c>
      <c r="N16" s="12" t="s">
        <v>4</v>
      </c>
      <c r="O16" s="47" t="s">
        <v>81</v>
      </c>
      <c r="P16" s="47" t="s">
        <v>82</v>
      </c>
    </row>
    <row r="17" spans="1:16" ht="13.5" thickBot="1">
      <c r="A17" s="48"/>
      <c r="D17" s="49">
        <f>ROUND((F17*0.8),2)</f>
        <v>3.59</v>
      </c>
      <c r="E17" s="50">
        <f>ROUND((F17*0.9),2)</f>
        <v>4.04</v>
      </c>
      <c r="F17" s="50">
        <f>Budget!D18</f>
        <v>4.49</v>
      </c>
      <c r="G17" s="50">
        <f>ROUND((F17*1.1),2)</f>
        <v>4.94</v>
      </c>
      <c r="H17" s="51">
        <f>ROUND((F17*1.2),2)</f>
        <v>5.39</v>
      </c>
      <c r="L17" s="49">
        <f>ROUND((N17*0.8),2)</f>
        <v>0</v>
      </c>
      <c r="M17" s="50">
        <f>ROUND((N17*0.9),2)</f>
        <v>0</v>
      </c>
      <c r="N17" s="50">
        <f>Budget!J18</f>
        <v>0</v>
      </c>
      <c r="O17" s="50">
        <f>ROUND((N17*1.1),2)</f>
        <v>0</v>
      </c>
      <c r="P17" s="51">
        <f>ROUND((N17*1.2),2)</f>
        <v>0</v>
      </c>
    </row>
    <row r="18" spans="1:16" ht="12.75">
      <c r="A18" s="48"/>
      <c r="B18" s="52">
        <v>-0.2</v>
      </c>
      <c r="C18" s="53">
        <f>(0.8*C20)</f>
        <v>124</v>
      </c>
      <c r="D18" s="54">
        <f>(D17*C18)-(Budget!E105-Budget!E19)</f>
        <v>-167.94936191625004</v>
      </c>
      <c r="E18" s="55">
        <f>(E17*C18)-(Budget!E105-Budget!E19)</f>
        <v>-112.14936191625003</v>
      </c>
      <c r="F18" s="56">
        <f>(F17*C18)-(Budget!E105-Budget!E19)</f>
        <v>-56.34936191625002</v>
      </c>
      <c r="G18" s="56">
        <f>(G17*C18)-(Budget!E105-Budget!E19)</f>
        <v>-0.5493619162499499</v>
      </c>
      <c r="H18" s="57">
        <f>(H17*C18)-(Budget!E105-Budget!E19)</f>
        <v>55.250638083750005</v>
      </c>
      <c r="J18" s="52">
        <v>-0.2</v>
      </c>
      <c r="K18" s="53">
        <f>(0.8*K20)</f>
        <v>0</v>
      </c>
      <c r="L18" s="54">
        <f>(L17*K18)-(Budget!K105-Budget!K19)</f>
        <v>0</v>
      </c>
      <c r="M18" s="55">
        <f>(M17*K18)-(Budget!K105-Budget!K19)</f>
        <v>0</v>
      </c>
      <c r="N18" s="56">
        <f>(N17*K18)-(Budget!K105-Budget!K19)</f>
        <v>0</v>
      </c>
      <c r="O18" s="56">
        <f>(O17*K18)-(Budget!K105-Budget!K19)</f>
        <v>0</v>
      </c>
      <c r="P18" s="57">
        <f>(P17*K18)-(Budget!K105-Budget!K19)</f>
        <v>0</v>
      </c>
    </row>
    <row r="19" spans="1:16" ht="12.75">
      <c r="A19" s="4"/>
      <c r="B19" s="52">
        <v>-0.1</v>
      </c>
      <c r="C19" s="58">
        <f>(0.9*C20)</f>
        <v>139.5</v>
      </c>
      <c r="D19" s="59">
        <f>(D17*C19)-(Budget!E105-Budget!E19)</f>
        <v>-112.30436191625</v>
      </c>
      <c r="E19" s="56">
        <f>(E17*C19)-(Budget!E105-Budget!E19)</f>
        <v>-49.52936191624997</v>
      </c>
      <c r="F19" s="56">
        <f>(F17*C19)-(Budget!E105-Budget!E19)</f>
        <v>13.24563808375001</v>
      </c>
      <c r="G19" s="56">
        <f>(G17*C19)-(Budget!E105-Budget!E19)</f>
        <v>76.0206380837501</v>
      </c>
      <c r="H19" s="60">
        <f>(H17*C19)-(Budget!E105-Budget!E19)</f>
        <v>138.79563808374996</v>
      </c>
      <c r="J19" s="52">
        <v>-0.1</v>
      </c>
      <c r="K19" s="58">
        <f>(0.9*K20)</f>
        <v>0</v>
      </c>
      <c r="L19" s="59">
        <f>(L17*K19)-(Budget!K105-Budget!K19)</f>
        <v>0</v>
      </c>
      <c r="M19" s="56">
        <f>(M17*K19)-(Budget!K105-Budget!K19)</f>
        <v>0</v>
      </c>
      <c r="N19" s="56">
        <f>(N17*K19)-(Budget!K105-Budget!K19)</f>
        <v>0</v>
      </c>
      <c r="O19" s="56">
        <f>(O17*K19)-(Budget!K105-Budget!K19)</f>
        <v>0</v>
      </c>
      <c r="P19" s="60">
        <f>(P17*K19)-(Budget!K105-Budget!K19)</f>
        <v>0</v>
      </c>
    </row>
    <row r="20" spans="1:16" ht="12.75">
      <c r="A20" s="48"/>
      <c r="B20" s="6" t="s">
        <v>83</v>
      </c>
      <c r="C20" s="58">
        <f>Budget!C18</f>
        <v>155</v>
      </c>
      <c r="D20" s="59">
        <f>(D17*C20)-(Budget!E105-Budget!E19)</f>
        <v>-56.65936191625008</v>
      </c>
      <c r="E20" s="56">
        <f>(E17*C20)-(Budget!E105-Budget!E19)</f>
        <v>13.090638083750036</v>
      </c>
      <c r="F20" s="56">
        <f>(F17*C20)-(Budget!E105-Budget!E19)</f>
        <v>82.84063808375004</v>
      </c>
      <c r="G20" s="56">
        <f>(G17*C20)-(Budget!E105-Budget!E19)</f>
        <v>152.59063808375004</v>
      </c>
      <c r="H20" s="60">
        <f>(H17*C20)-(Budget!E105-Budget!E19)</f>
        <v>222.34063808374992</v>
      </c>
      <c r="J20" s="6" t="s">
        <v>83</v>
      </c>
      <c r="K20" s="58">
        <f>Budget!I18</f>
        <v>0</v>
      </c>
      <c r="L20" s="59">
        <f>(L17*K20)-(Budget!K105-Budget!K19)</f>
        <v>0</v>
      </c>
      <c r="M20" s="56">
        <f>(M17*K20)-(Budget!K105-Budget!K19)</f>
        <v>0</v>
      </c>
      <c r="N20" s="56">
        <f>(N17*K20)-(Budget!K105-Budget!K19)</f>
        <v>0</v>
      </c>
      <c r="O20" s="56">
        <f>(O17*K20)-(Budget!K105-Budget!K19)</f>
        <v>0</v>
      </c>
      <c r="P20" s="60">
        <f>(P17*K20)-(Budget!K105-Budget!K19)</f>
        <v>0</v>
      </c>
    </row>
    <row r="21" spans="1:16" ht="12.75">
      <c r="A21" s="48"/>
      <c r="B21" s="61" t="s">
        <v>81</v>
      </c>
      <c r="C21" s="58">
        <f>(1.1*C20)</f>
        <v>170.5</v>
      </c>
      <c r="D21" s="59">
        <f>(D17*C21)-(Budget!E105-Budget!E19)</f>
        <v>-1.0143619162499817</v>
      </c>
      <c r="E21" s="56">
        <f>(E17*C21)-(Budget!E105-Budget!E19)</f>
        <v>75.71063808375004</v>
      </c>
      <c r="F21" s="56">
        <f>(F17*C21)-(Budget!E105-Budget!E19)</f>
        <v>152.43563808375006</v>
      </c>
      <c r="G21" s="56">
        <f>(G17*C21)-(Budget!E105-Budget!E19)</f>
        <v>229.1606380837501</v>
      </c>
      <c r="H21" s="60">
        <f>(H17*C21)-(Budget!E105-Budget!E19)</f>
        <v>305.8856380837499</v>
      </c>
      <c r="J21" s="61" t="s">
        <v>81</v>
      </c>
      <c r="K21" s="58">
        <f>(1.1*K20)</f>
        <v>0</v>
      </c>
      <c r="L21" s="59">
        <f>(L17*K21)-(Budget!K105-Budget!K19)</f>
        <v>0</v>
      </c>
      <c r="M21" s="56">
        <f>(M17*K21)-(Budget!K105-Budget!K19)</f>
        <v>0</v>
      </c>
      <c r="N21" s="56">
        <f>(N17*K21)-(Budget!K105-Budget!K19)</f>
        <v>0</v>
      </c>
      <c r="O21" s="56">
        <f>(O17*K21)-(Budget!K105-Budget!K19)</f>
        <v>0</v>
      </c>
      <c r="P21" s="60">
        <f>(P17*K21)-(Budget!K105-Budget!K19)</f>
        <v>0</v>
      </c>
    </row>
    <row r="22" spans="2:16" ht="13.5" thickBot="1">
      <c r="B22" s="52" t="s">
        <v>82</v>
      </c>
      <c r="C22" s="62">
        <f>(1.2*C20)</f>
        <v>186</v>
      </c>
      <c r="D22" s="63">
        <f>(D17*C22)-(Budget!E105-Budget!E19)</f>
        <v>54.63063808375</v>
      </c>
      <c r="E22" s="64">
        <f>(E17*C22)-(Budget!E105-Budget!E19)</f>
        <v>138.33063808375005</v>
      </c>
      <c r="F22" s="64">
        <f>(F17*C22)-(Budget!E105-Budget!E19)</f>
        <v>222.03063808374998</v>
      </c>
      <c r="G22" s="64">
        <f>(G17*C22)-(Budget!E105-Budget!E19)</f>
        <v>305.73063808375</v>
      </c>
      <c r="H22" s="65">
        <f>(H17*C22)-(Budget!E105-Budget!E19)</f>
        <v>389.43063808374995</v>
      </c>
      <c r="J22" s="52" t="s">
        <v>82</v>
      </c>
      <c r="K22" s="62">
        <f>(1.2*K20)</f>
        <v>0</v>
      </c>
      <c r="L22" s="63">
        <f>(L17*K22)-(Budget!K105-Budget!K19)</f>
        <v>0</v>
      </c>
      <c r="M22" s="64">
        <f>(M17*K22)-(Budget!K105-Budget!K19)</f>
        <v>0</v>
      </c>
      <c r="N22" s="64">
        <f>(N17*K22)-(Budget!K105-Budget!K19)</f>
        <v>0</v>
      </c>
      <c r="O22" s="64">
        <f>(O17*K22)-(Budget!K105-Budget!K19)</f>
        <v>0</v>
      </c>
      <c r="P22" s="65">
        <f>(P17*K22)-(Budget!K105-Budget!K19)</f>
        <v>0</v>
      </c>
    </row>
    <row r="27" spans="3:14" ht="12.75">
      <c r="C27" s="1"/>
      <c r="D27" s="1"/>
      <c r="E27" s="153" t="s">
        <v>84</v>
      </c>
      <c r="F27" s="153"/>
      <c r="K27" s="1"/>
      <c r="L27" s="1"/>
      <c r="M27" s="153" t="s">
        <v>84</v>
      </c>
      <c r="N27" s="153"/>
    </row>
    <row r="28" spans="3:14" ht="12.75">
      <c r="C28" s="1" t="s">
        <v>85</v>
      </c>
      <c r="D28" s="1"/>
      <c r="E28" s="1"/>
      <c r="F28" s="1"/>
      <c r="K28" s="1" t="s">
        <v>85</v>
      </c>
      <c r="L28" s="1"/>
      <c r="M28" s="1"/>
      <c r="N28" s="1"/>
    </row>
    <row r="30" spans="4:16" ht="13.5" thickBot="1">
      <c r="D30" s="46">
        <v>-0.2</v>
      </c>
      <c r="E30" s="46">
        <v>-0.1</v>
      </c>
      <c r="F30" s="12" t="s">
        <v>4</v>
      </c>
      <c r="G30" s="47" t="s">
        <v>81</v>
      </c>
      <c r="H30" s="47" t="s">
        <v>82</v>
      </c>
      <c r="L30" s="46">
        <v>-0.2</v>
      </c>
      <c r="M30" s="46">
        <v>-0.1</v>
      </c>
      <c r="N30" s="12" t="s">
        <v>4</v>
      </c>
      <c r="O30" s="47" t="s">
        <v>81</v>
      </c>
      <c r="P30" s="47" t="s">
        <v>82</v>
      </c>
    </row>
    <row r="31" spans="4:16" ht="13.5" thickBot="1">
      <c r="D31" s="66">
        <f>ROUND((F31*0.8),2)</f>
        <v>3.59</v>
      </c>
      <c r="E31" s="67">
        <f>ROUND((F31*0.9),2)</f>
        <v>4.04</v>
      </c>
      <c r="F31" s="67">
        <f>Budget!D18</f>
        <v>4.49</v>
      </c>
      <c r="G31" s="68">
        <f>ROUND((F31*1.1),2)</f>
        <v>4.94</v>
      </c>
      <c r="H31" s="128">
        <f>ROUND((F31*1.2),2)</f>
        <v>5.39</v>
      </c>
      <c r="L31" s="66">
        <f>ROUND((N31*0.8),2)</f>
        <v>0</v>
      </c>
      <c r="M31" s="67">
        <f>ROUND((N31*0.9),2)</f>
        <v>0</v>
      </c>
      <c r="N31" s="67">
        <f>Budget!J18</f>
        <v>0</v>
      </c>
      <c r="O31" s="68">
        <f>ROUND((N31*1.1),2)</f>
        <v>0</v>
      </c>
      <c r="P31" s="51">
        <f>ROUND((N31*1.2),2)</f>
        <v>0</v>
      </c>
    </row>
    <row r="32" spans="2:16" ht="12.75">
      <c r="B32" s="52">
        <v>-0.2</v>
      </c>
      <c r="C32" s="69">
        <f>(0.8*C34)</f>
        <v>490.48748953300003</v>
      </c>
      <c r="D32" s="70">
        <f>(C32-Budget!E19)/D31</f>
        <v>136.62604165264625</v>
      </c>
      <c r="E32" s="71">
        <f>(C32-Budget!E19)/E31</f>
        <v>121.40779443886139</v>
      </c>
      <c r="F32" s="71">
        <f>(C32-Budget!E19)/F31</f>
        <v>109.23997539710467</v>
      </c>
      <c r="G32" s="71">
        <f>(C32-Budget!E19)/G31</f>
        <v>99.28896549251012</v>
      </c>
      <c r="H32" s="129">
        <f>(C32-Budget!E19)/H31</f>
        <v>90.99953423617812</v>
      </c>
      <c r="J32" s="52">
        <v>-0.2</v>
      </c>
      <c r="K32" s="69">
        <f>(0.8*K34)</f>
        <v>0</v>
      </c>
      <c r="L32" s="70" t="e">
        <f>(K32-Budget!K19)/L31</f>
        <v>#DIV/0!</v>
      </c>
      <c r="M32" s="71" t="e">
        <f>(K32-Budget!K19)/M31</f>
        <v>#DIV/0!</v>
      </c>
      <c r="N32" s="71" t="e">
        <f>(K32-Budget!K19)/N31</f>
        <v>#DIV/0!</v>
      </c>
      <c r="O32" s="71" t="e">
        <f>(K32-Budget!K19)/O31</f>
        <v>#DIV/0!</v>
      </c>
      <c r="P32" s="72" t="e">
        <f>(K32-Budget!K19)/P31</f>
        <v>#DIV/0!</v>
      </c>
    </row>
    <row r="33" spans="2:16" ht="12.75">
      <c r="B33" s="52">
        <v>-0.1</v>
      </c>
      <c r="C33" s="73">
        <f>(0.9*C34)</f>
        <v>551.7984257246251</v>
      </c>
      <c r="D33" s="74">
        <f>(C33-Budget!E19)/D31</f>
        <v>153.70429685922704</v>
      </c>
      <c r="E33" s="75">
        <f>(C33-Budget!E19)/E31</f>
        <v>136.58376874371908</v>
      </c>
      <c r="F33" s="75">
        <f>(C33-Budget!E19)/F31</f>
        <v>122.89497232174277</v>
      </c>
      <c r="G33" s="75">
        <f>(C33-Budget!E19)/G31</f>
        <v>111.70008617907389</v>
      </c>
      <c r="H33" s="131">
        <f>(C33-Budget!E19)/H31</f>
        <v>102.3744760157004</v>
      </c>
      <c r="J33" s="52">
        <v>-0.1</v>
      </c>
      <c r="K33" s="73">
        <f>(0.9*K34)</f>
        <v>0</v>
      </c>
      <c r="L33" s="74" t="e">
        <f>(K33-Budget!K19)/L31</f>
        <v>#DIV/0!</v>
      </c>
      <c r="M33" s="75" t="e">
        <f>(K33-Budget!K19)/M31</f>
        <v>#DIV/0!</v>
      </c>
      <c r="N33" s="75" t="e">
        <f>(K33-Budget!K19)/N31</f>
        <v>#DIV/0!</v>
      </c>
      <c r="O33" s="75" t="e">
        <f>(K33-Budget!K19)/O31</f>
        <v>#DIV/0!</v>
      </c>
      <c r="P33" s="76" t="e">
        <f>(K33-Budget!K19)/P31</f>
        <v>#DIV/0!</v>
      </c>
    </row>
    <row r="34" spans="2:16" ht="12.75">
      <c r="B34" s="6" t="s">
        <v>12</v>
      </c>
      <c r="C34" s="73">
        <f>Budget!E105</f>
        <v>613.10936191625</v>
      </c>
      <c r="D34" s="75">
        <f>(C34-Budget!E19)/D31</f>
        <v>170.7825520658078</v>
      </c>
      <c r="E34" s="75">
        <f>(C34-Budget!E19)/E31</f>
        <v>151.75974304857672</v>
      </c>
      <c r="F34" s="75">
        <f>(C34-Budget!E19)/F31</f>
        <v>136.54996924638084</v>
      </c>
      <c r="G34" s="75">
        <f>(C34-Budget!E19)/G31</f>
        <v>124.11120686563764</v>
      </c>
      <c r="H34" s="130">
        <f>(C34-Budget!E19)/H31</f>
        <v>113.74941779522264</v>
      </c>
      <c r="J34" s="6" t="s">
        <v>12</v>
      </c>
      <c r="K34" s="73">
        <f>Budget!K105</f>
        <v>0</v>
      </c>
      <c r="L34" s="74" t="e">
        <f>(K34-Budget!K19)/L31</f>
        <v>#DIV/0!</v>
      </c>
      <c r="M34" s="75" t="e">
        <f>(K34-Budget!K19)/M31</f>
        <v>#DIV/0!</v>
      </c>
      <c r="N34" s="75" t="e">
        <f>(K34-Budget!K19)/N31</f>
        <v>#DIV/0!</v>
      </c>
      <c r="O34" s="75" t="e">
        <f>(K34-Budget!K19)/O31</f>
        <v>#DIV/0!</v>
      </c>
      <c r="P34" s="76" t="e">
        <f>(K34-Budget!K19)/P31</f>
        <v>#DIV/0!</v>
      </c>
    </row>
    <row r="35" spans="2:16" ht="12.75">
      <c r="B35" s="61" t="s">
        <v>81</v>
      </c>
      <c r="C35" s="73">
        <f>(1.1*C34)</f>
        <v>674.420298107875</v>
      </c>
      <c r="D35" s="74">
        <f>(C35-Budget!E19)/D31</f>
        <v>187.8608072723886</v>
      </c>
      <c r="E35" s="75">
        <f>(C35-Budget!E19)/E31</f>
        <v>166.93571735343443</v>
      </c>
      <c r="F35" s="75">
        <f>(C35-Budget!E19)/F31</f>
        <v>150.20496617101892</v>
      </c>
      <c r="G35" s="75">
        <f>(C35-Budget!E19)/G31</f>
        <v>136.5223275522014</v>
      </c>
      <c r="H35" s="133">
        <f>(C35-Budget!E19)/H31</f>
        <v>125.12435957474491</v>
      </c>
      <c r="J35" s="61" t="s">
        <v>81</v>
      </c>
      <c r="K35" s="73">
        <f>(1.1*K34)</f>
        <v>0</v>
      </c>
      <c r="L35" s="74" t="e">
        <f>(K35-Budget!K19)/L31</f>
        <v>#DIV/0!</v>
      </c>
      <c r="M35" s="75" t="e">
        <f>(K35-Budget!K19)/M31</f>
        <v>#DIV/0!</v>
      </c>
      <c r="N35" s="75" t="e">
        <f>(K35-Budget!K19)/N31</f>
        <v>#DIV/0!</v>
      </c>
      <c r="O35" s="75" t="e">
        <f>(K35-Budget!K19)/O31</f>
        <v>#DIV/0!</v>
      </c>
      <c r="P35" s="76" t="e">
        <f>(K35-Budget!K19)/P31</f>
        <v>#DIV/0!</v>
      </c>
    </row>
    <row r="36" spans="2:16" ht="13.5" thickBot="1">
      <c r="B36" s="52" t="s">
        <v>82</v>
      </c>
      <c r="C36" s="77">
        <f>(1.2*C34)</f>
        <v>735.7312342995</v>
      </c>
      <c r="D36" s="78">
        <f>(C36-Budget!E19)/D31</f>
        <v>204.93906247896936</v>
      </c>
      <c r="E36" s="79">
        <f>(C36-Budget!E19)/E31</f>
        <v>182.11169165829207</v>
      </c>
      <c r="F36" s="79">
        <f>(C36-Budget!E19)/F31</f>
        <v>163.859963095657</v>
      </c>
      <c r="G36" s="79">
        <f>(C36-Budget!E19)/G31</f>
        <v>148.93344823876518</v>
      </c>
      <c r="H36" s="132">
        <f>(C36-Budget!E19)/H31</f>
        <v>136.49930135426717</v>
      </c>
      <c r="J36" s="52" t="s">
        <v>82</v>
      </c>
      <c r="K36" s="77">
        <f>(1.2*K34)</f>
        <v>0</v>
      </c>
      <c r="L36" s="78" t="e">
        <f>(K36-Budget!K19)/L31</f>
        <v>#DIV/0!</v>
      </c>
      <c r="M36" s="79" t="e">
        <f>(K36-Budget!K19)/M31</f>
        <v>#DIV/0!</v>
      </c>
      <c r="N36" s="79" t="e">
        <f>(K36-Budget!K19)/N31</f>
        <v>#DIV/0!</v>
      </c>
      <c r="O36" s="79" t="e">
        <f>(K36-Budget!K19)/O31</f>
        <v>#DIV/0!</v>
      </c>
      <c r="P36" s="80" t="e">
        <f>(K36-Budget!K19)/P31</f>
        <v>#DIV/0!</v>
      </c>
    </row>
  </sheetData>
  <sheetProtection password="C610" sheet="1"/>
  <mergeCells count="6">
    <mergeCell ref="E27:F27"/>
    <mergeCell ref="M27:N27"/>
    <mergeCell ref="M10:N10"/>
    <mergeCell ref="E10:F10"/>
    <mergeCell ref="M12:N12"/>
    <mergeCell ref="E12:F12"/>
  </mergeCells>
  <printOptions/>
  <pageMargins left="0.75" right="0.75" top="1" bottom="1" header="0.5" footer="0.5"/>
  <pageSetup orientation="portrait" paperSize="9"/>
  <ignoredErrors>
    <ignoredError sqref="B21:B30 B31:B36 G16:G17 H23:H30 J21:J30 J31:J36 H16:H17 G23:G30 O23:O30 O16:O17 P16:P17 P23:P30" numberStoredAsText="1"/>
    <ignoredError sqref="K32:K33 K35:K36 C32:C33 C35:C36 L32:P36" evalError="1"/>
    <ignoredError sqref="E3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3"/>
  <sheetViews>
    <sheetView zoomScale="85" zoomScaleNormal="85" zoomScalePageLayoutView="0" workbookViewId="0" topLeftCell="A1">
      <selection activeCell="P17" sqref="P17"/>
    </sheetView>
  </sheetViews>
  <sheetFormatPr defaultColWidth="9.140625" defaultRowHeight="12.75"/>
  <cols>
    <col min="1" max="1" width="24.57421875" style="0" customWidth="1"/>
    <col min="2" max="2" width="25.57421875" style="0" customWidth="1"/>
    <col min="3" max="3" width="13.140625" style="0" customWidth="1"/>
  </cols>
  <sheetData>
    <row r="8" spans="1:2" ht="15.75">
      <c r="A8" s="147" t="s">
        <v>129</v>
      </c>
      <c r="B8" s="2"/>
    </row>
    <row r="9" spans="1:2" ht="15.75">
      <c r="A9" s="147" t="s">
        <v>66</v>
      </c>
      <c r="B9" s="2"/>
    </row>
    <row r="11" spans="1:9" ht="12.75">
      <c r="A11" s="12" t="s">
        <v>17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23</v>
      </c>
      <c r="H11" s="12" t="s">
        <v>24</v>
      </c>
      <c r="I11" s="12" t="s">
        <v>25</v>
      </c>
    </row>
    <row r="12" spans="1:9" ht="12.75">
      <c r="A12" s="12"/>
      <c r="B12" s="12"/>
      <c r="C12" s="12"/>
      <c r="D12" s="12"/>
      <c r="E12" s="12"/>
      <c r="F12" s="12"/>
      <c r="G12" s="12"/>
      <c r="H12" s="12" t="s">
        <v>26</v>
      </c>
      <c r="I12" s="12" t="s">
        <v>27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42" t="s">
        <v>119</v>
      </c>
      <c r="B14" t="s">
        <v>87</v>
      </c>
      <c r="C14" s="13">
        <v>6.67</v>
      </c>
      <c r="D14" s="13">
        <v>3.63</v>
      </c>
      <c r="E14" s="13">
        <v>0.95</v>
      </c>
      <c r="F14" s="13">
        <v>1.86</v>
      </c>
      <c r="G14" s="13">
        <v>3.37</v>
      </c>
      <c r="H14" s="3">
        <v>1</v>
      </c>
      <c r="I14" s="13">
        <f aca="true" t="shared" si="0" ref="I14:I19">SUM(C14:G14)*H14</f>
        <v>16.48</v>
      </c>
    </row>
    <row r="15" spans="1:9" ht="12.75">
      <c r="A15" t="s">
        <v>89</v>
      </c>
      <c r="B15" t="s">
        <v>88</v>
      </c>
      <c r="C15" s="13">
        <v>0.84</v>
      </c>
      <c r="D15" s="13">
        <v>0.48</v>
      </c>
      <c r="E15" s="13">
        <v>0.37</v>
      </c>
      <c r="F15" s="13">
        <v>0.28</v>
      </c>
      <c r="G15" s="13">
        <v>0.53</v>
      </c>
      <c r="H15" s="3">
        <v>1</v>
      </c>
      <c r="I15" s="13">
        <f t="shared" si="0"/>
        <v>2.5</v>
      </c>
    </row>
    <row r="16" spans="1:9" ht="12.75">
      <c r="A16" s="142" t="s">
        <v>123</v>
      </c>
      <c r="B16" t="s">
        <v>64</v>
      </c>
      <c r="C16" s="13">
        <v>14.33</v>
      </c>
      <c r="D16" s="13">
        <v>10.8</v>
      </c>
      <c r="E16" s="13">
        <v>2.88</v>
      </c>
      <c r="F16" s="13">
        <v>10.7</v>
      </c>
      <c r="G16" s="13">
        <v>32.25</v>
      </c>
      <c r="H16" s="3">
        <v>1</v>
      </c>
      <c r="I16" s="13">
        <f t="shared" si="0"/>
        <v>70.96000000000001</v>
      </c>
    </row>
    <row r="17" spans="1:9" ht="12.75">
      <c r="A17" s="135" t="s">
        <v>65</v>
      </c>
      <c r="B17" s="136" t="s">
        <v>114</v>
      </c>
      <c r="C17" s="137">
        <v>1.64</v>
      </c>
      <c r="D17" s="137">
        <v>0.87</v>
      </c>
      <c r="E17" s="137">
        <v>1.21</v>
      </c>
      <c r="F17" s="137">
        <v>3.48</v>
      </c>
      <c r="G17" s="137">
        <v>0.57</v>
      </c>
      <c r="H17" s="138">
        <v>1</v>
      </c>
      <c r="I17" s="137">
        <f t="shared" si="0"/>
        <v>7.77</v>
      </c>
    </row>
    <row r="18" spans="1:9" ht="12.75">
      <c r="A18" s="142" t="s">
        <v>119</v>
      </c>
      <c r="B18" t="s">
        <v>107</v>
      </c>
      <c r="C18" s="13">
        <v>3.92</v>
      </c>
      <c r="D18" s="13">
        <v>2.46</v>
      </c>
      <c r="E18" s="13">
        <v>1.31</v>
      </c>
      <c r="F18" s="13">
        <v>3.68</v>
      </c>
      <c r="G18" s="13">
        <v>1.62</v>
      </c>
      <c r="H18" s="15">
        <v>1</v>
      </c>
      <c r="I18" s="13">
        <f t="shared" si="0"/>
        <v>12.989999999999998</v>
      </c>
    </row>
    <row r="19" spans="1:9" ht="12.75">
      <c r="A19" s="142" t="s">
        <v>125</v>
      </c>
      <c r="B19" t="s">
        <v>124</v>
      </c>
      <c r="C19" s="13">
        <v>1.89</v>
      </c>
      <c r="D19" s="13">
        <v>1.05</v>
      </c>
      <c r="E19" s="13">
        <v>0.6</v>
      </c>
      <c r="F19" s="13">
        <v>1.17</v>
      </c>
      <c r="G19" s="13">
        <v>0.96</v>
      </c>
      <c r="H19" s="3">
        <v>1</v>
      </c>
      <c r="I19" s="13">
        <f t="shared" si="0"/>
        <v>5.67</v>
      </c>
    </row>
    <row r="20" spans="1:9" ht="12.75">
      <c r="A20" s="14" t="s">
        <v>115</v>
      </c>
      <c r="B20" s="142" t="s">
        <v>118</v>
      </c>
      <c r="C20" s="13">
        <v>3.11</v>
      </c>
      <c r="D20" s="13">
        <v>2.04</v>
      </c>
      <c r="E20" s="13">
        <v>1.21</v>
      </c>
      <c r="F20" s="13">
        <v>3.83</v>
      </c>
      <c r="G20" s="13">
        <v>1.21</v>
      </c>
      <c r="H20" s="3">
        <v>1</v>
      </c>
      <c r="I20" s="13">
        <f>SUM(C20:G20)*H20</f>
        <v>11.400000000000002</v>
      </c>
    </row>
    <row r="21" spans="1:9" ht="12.75">
      <c r="A21" t="s">
        <v>28</v>
      </c>
      <c r="C21" s="13" t="s">
        <v>16</v>
      </c>
      <c r="D21" s="13"/>
      <c r="E21" s="13"/>
      <c r="F21" s="13">
        <f>SUM(F14:F20)*0.15</f>
        <v>3.75</v>
      </c>
      <c r="G21" s="13"/>
      <c r="H21" s="13"/>
      <c r="I21" s="13"/>
    </row>
    <row r="22" spans="3:9" ht="12.75">
      <c r="C22" s="13"/>
      <c r="D22" s="13"/>
      <c r="E22" s="13"/>
      <c r="F22" s="13"/>
      <c r="G22" s="13"/>
      <c r="H22" s="13"/>
      <c r="I22" s="13"/>
    </row>
    <row r="23" spans="1:9" ht="12.75">
      <c r="A23" t="s">
        <v>29</v>
      </c>
      <c r="C23" s="13">
        <f>SUM(C14:C22)</f>
        <v>32.4</v>
      </c>
      <c r="D23" s="13">
        <f>SUM(D14:D22)</f>
        <v>21.33</v>
      </c>
      <c r="E23" s="13">
        <f>SUM(E14:E22)</f>
        <v>8.529999999999998</v>
      </c>
      <c r="F23" s="13">
        <f>SUM(F14:F22)</f>
        <v>28.75</v>
      </c>
      <c r="G23" s="13">
        <f>SUM(G14:G22)</f>
        <v>40.51</v>
      </c>
      <c r="H23" s="13"/>
      <c r="I23" s="13">
        <f>SUM(C23:G23)</f>
        <v>131.51999999999998</v>
      </c>
    </row>
  </sheetData>
  <sheetProtection password="C610" sheet="1"/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2007-05-24T22:49:46Z</cp:lastPrinted>
  <dcterms:created xsi:type="dcterms:W3CDTF">2006-06-24T15:43:23Z</dcterms:created>
  <dcterms:modified xsi:type="dcterms:W3CDTF">2014-03-24T20:43:28Z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