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0" yWindow="120" windowWidth="32200" windowHeight="13680" tabRatio="1000" activeTab="0"/>
  </bookViews>
  <sheets>
    <sheet name="Dates&amp;Descripitions" sheetId="1" r:id="rId1"/>
    <sheet name="1.WeanedCalf to Sell Bred Heif " sheetId="2" r:id="rId2"/>
    <sheet name="2. Bull Cost" sheetId="3" r:id="rId3"/>
    <sheet name="3.Conventional AI BreedingCost" sheetId="4" r:id="rId4"/>
    <sheet name="4. Conventional AI Summary" sheetId="5" r:id="rId5"/>
    <sheet name="5. Natural Service" sheetId="6" r:id="rId6"/>
    <sheet name="6. Inital Pricing of Heifers" sheetId="7" r:id="rId7"/>
  </sheets>
  <definedNames>
    <definedName name="_xlnm.Print_Area" localSheetId="1">'1.WeanedCalf to Sell Bred Heif '!$B$1:$G$134</definedName>
    <definedName name="_xlnm.Print_Area" localSheetId="2">'2. Bull Cost'!$B$1:$G$28</definedName>
    <definedName name="_xlnm.Print_Area" localSheetId="3">'3.Conventional AI BreedingCost'!$B$1:$J$68</definedName>
    <definedName name="_xlnm.Print_Area" localSheetId="4">'4. Conventional AI Summary'!$B$1:$G$38</definedName>
    <definedName name="_xlnm.Print_Area" localSheetId="5">'5. Natural Service'!$B$1:$G$39</definedName>
    <definedName name="_xlnm.Print_Area" localSheetId="6">'6. Inital Pricing of Heifers'!$A$1:$G$61</definedName>
    <definedName name="_xlnm.Print_Area" localSheetId="0">'Dates&amp;Descripitions'!$B$1:$F$24</definedName>
  </definedNames>
  <calcPr fullCalcOnLoad="1"/>
</workbook>
</file>

<file path=xl/comments3.xml><?xml version="1.0" encoding="utf-8"?>
<comments xmlns="http://schemas.openxmlformats.org/spreadsheetml/2006/main">
  <authors>
    <author>Michael J. Kelly</author>
  </authors>
  <commentList>
    <comment ref="G3" authorId="0">
      <text>
        <r>
          <rPr>
            <sz val="8"/>
            <rFont val="Tahoma"/>
            <family val="0"/>
          </rPr>
          <t xml:space="preserve">See the number of cows input per bull below </t>
        </r>
      </text>
    </comment>
  </commentList>
</comments>
</file>

<file path=xl/sharedStrings.xml><?xml version="1.0" encoding="utf-8"?>
<sst xmlns="http://schemas.openxmlformats.org/spreadsheetml/2006/main" count="556" uniqueCount="351">
  <si>
    <t xml:space="preserve">Calving Date </t>
  </si>
  <si>
    <t>$/Head</t>
  </si>
  <si>
    <t xml:space="preserve">Days After Breeding Season Delivered </t>
  </si>
  <si>
    <t>Credit for Cull Sales Per Bred Heifer</t>
  </si>
  <si>
    <t>Death Loss %</t>
  </si>
  <si>
    <t xml:space="preserve">  $/Month</t>
  </si>
  <si>
    <t>%</t>
  </si>
  <si>
    <t>Total Net Costs of Bred Heifer</t>
  </si>
  <si>
    <t>at delivered cost</t>
  </si>
  <si>
    <t xml:space="preserve">Cost of </t>
  </si>
  <si>
    <t>Total Gain</t>
  </si>
  <si>
    <t>Pounds</t>
  </si>
  <si>
    <t>Gain $/lb.</t>
  </si>
  <si>
    <t xml:space="preserve">Net margin over total cost </t>
  </si>
  <si>
    <t>Breeding, Pregnancy Testing % of Total Cost</t>
  </si>
  <si>
    <t>Breeding Total</t>
  </si>
  <si>
    <t>Weight</t>
  </si>
  <si>
    <t>Value $/Cwt</t>
  </si>
  <si>
    <t>Percent</t>
  </si>
  <si>
    <t>Per Breeding Culling Date and Percent</t>
  </si>
  <si>
    <t>Pre Breeding Culled Heifer</t>
  </si>
  <si>
    <t>Head</t>
  </si>
  <si>
    <t>Number of Heifers Exposed</t>
  </si>
  <si>
    <t>Culled Open Heifer</t>
  </si>
  <si>
    <t>Head Culled</t>
  </si>
  <si>
    <t>Total Value</t>
  </si>
  <si>
    <t>Head Days</t>
  </si>
  <si>
    <t>Beginning to pre breeding culling</t>
  </si>
  <si>
    <t>Pre breeding culling through breeding and delivery</t>
  </si>
  <si>
    <t>Days</t>
  </si>
  <si>
    <t>Days Per Head Marketed</t>
  </si>
  <si>
    <t>Other Costs Based on  Heifers Exposed</t>
  </si>
  <si>
    <t>Percent Pregnant and Net for Sale</t>
  </si>
  <si>
    <t>Culled Open Heifer Sale</t>
  </si>
  <si>
    <t>Operating Cost</t>
  </si>
  <si>
    <t xml:space="preserve">Annual
Per Year
Cost
</t>
  </si>
  <si>
    <t>Cows  per Year Per Bull</t>
  </si>
  <si>
    <t>Annual
Cow
Service Cost</t>
  </si>
  <si>
    <t>Feed and Grazing</t>
  </si>
  <si>
    <t xml:space="preserve">Other Cost </t>
  </si>
  <si>
    <t>Veterinary Medicine</t>
  </si>
  <si>
    <t>Annual Interest on (1/2) of Operating Cost</t>
  </si>
  <si>
    <t>Annual Operating Cost</t>
  </si>
  <si>
    <t>Ownership Costs</t>
  </si>
  <si>
    <t>Depreciation</t>
  </si>
  <si>
    <t>Average Annual Interest Cost*</t>
  </si>
  <si>
    <t>Annual Ownership Cost</t>
  </si>
  <si>
    <t>Estimated Purchase Cost including Freight</t>
  </si>
  <si>
    <t>Useful Life</t>
  </si>
  <si>
    <t>Wt. Lb./Hd.</t>
  </si>
  <si>
    <t>$/Cwt.</t>
  </si>
  <si>
    <t xml:space="preserve">  $/Head</t>
  </si>
  <si>
    <t xml:space="preserve">Bull Salvage Value </t>
  </si>
  <si>
    <t>Interest Rate Used</t>
  </si>
  <si>
    <t>*Average investment is cost plus salvage value divided by 2. or</t>
  </si>
  <si>
    <t>Sales Weight</t>
  </si>
  <si>
    <t>Starting Weight</t>
  </si>
  <si>
    <t>Net Gain</t>
  </si>
  <si>
    <t>ADG</t>
  </si>
  <si>
    <t>Annual Herd Bull Cost Calculator</t>
  </si>
  <si>
    <t>Gross Income</t>
  </si>
  <si>
    <t>Revenue</t>
  </si>
  <si>
    <t>$/Head Bred Heifer</t>
  </si>
  <si>
    <r>
      <t xml:space="preserve">Total Bull Breeding Non Interest Cost </t>
    </r>
    <r>
      <rPr>
        <sz val="10"/>
        <rFont val="Arial"/>
        <family val="2"/>
      </rPr>
      <t>(see bull cost sheet)</t>
    </r>
  </si>
  <si>
    <t>Total Cost</t>
  </si>
  <si>
    <t>Net Income per head</t>
  </si>
  <si>
    <r>
      <t xml:space="preserve">Bred Heifer Sales Price </t>
    </r>
    <r>
      <rPr>
        <sz val="10"/>
        <rFont val="Arial"/>
        <family val="2"/>
      </rPr>
      <t>(Gross price before delivery cost)</t>
    </r>
  </si>
  <si>
    <t>Delivery Date of Bred Heifers</t>
  </si>
  <si>
    <t>Weaning Age</t>
  </si>
  <si>
    <t>Breeding Age</t>
  </si>
  <si>
    <t>Calving Age</t>
  </si>
  <si>
    <t>Delivery Age</t>
  </si>
  <si>
    <t>Months old at delivery</t>
  </si>
  <si>
    <t>Months old at calving</t>
  </si>
  <si>
    <t>Months old at breeding</t>
  </si>
  <si>
    <t>Starting Date for Weaned Heifer Calf</t>
  </si>
  <si>
    <t xml:space="preserve">Breeding Date </t>
  </si>
  <si>
    <t>Interest Rate %  and Cost of (return to) Capital</t>
  </si>
  <si>
    <t>Total Production and Breeding Cost</t>
  </si>
  <si>
    <r>
      <t xml:space="preserve">Total Costs of All Heifers </t>
    </r>
    <r>
      <rPr>
        <b/>
        <sz val="10"/>
        <rFont val="Arial"/>
        <family val="2"/>
      </rPr>
      <t>(Heifer &amp; Production)</t>
    </r>
  </si>
  <si>
    <t xml:space="preserve">Total Grazing and Feeding Cost </t>
  </si>
  <si>
    <t>Delivery Weight of Bred Heifers</t>
  </si>
  <si>
    <t>Length of Breeding Season - Days</t>
  </si>
  <si>
    <t xml:space="preserve">Marketing and Delivery Freight  Cost </t>
  </si>
  <si>
    <t xml:space="preserve">            Head</t>
  </si>
  <si>
    <t>Description of the Production System</t>
  </si>
  <si>
    <t>Weaned or Purchased Heifer</t>
  </si>
  <si>
    <t>Calculated Price Slide Based on Reported Cattle Fax Prices - Steers</t>
  </si>
  <si>
    <t>Cattle Fax Prices</t>
  </si>
  <si>
    <t xml:space="preserve"> High -Low</t>
  </si>
  <si>
    <t>Slide</t>
  </si>
  <si>
    <t xml:space="preserve">     Weight</t>
  </si>
  <si>
    <t xml:space="preserve"> Weight Range</t>
  </si>
  <si>
    <t>Average</t>
  </si>
  <si>
    <t>$/Cwt</t>
  </si>
  <si>
    <t xml:space="preserve">    Range</t>
  </si>
  <si>
    <t>Cents/Lb.</t>
  </si>
  <si>
    <t xml:space="preserve">       Slide</t>
  </si>
  <si>
    <t>Calculated Price Slide Based on Reported Cattle Fax Prices - Heifers</t>
  </si>
  <si>
    <t>Steers Versus Heifer Price</t>
  </si>
  <si>
    <t xml:space="preserve">Steer </t>
  </si>
  <si>
    <t>Heifer</t>
  </si>
  <si>
    <t>Difference Steers vs Heifers</t>
  </si>
  <si>
    <t>____________________________________________________________________</t>
  </si>
  <si>
    <t>Replacement Heifer for Breeding Priced at Steer Price</t>
  </si>
  <si>
    <t>At Steer Price</t>
  </si>
  <si>
    <t>At Heifer Price</t>
  </si>
  <si>
    <t>Net Payweigth</t>
  </si>
  <si>
    <t>Lb./Head</t>
  </si>
  <si>
    <t>Cattle Price Slide Calculator-------------------</t>
  </si>
  <si>
    <t xml:space="preserve">Feeder Steer Price </t>
  </si>
  <si>
    <t>Bred Replacement</t>
  </si>
  <si>
    <t>Replacement</t>
  </si>
  <si>
    <t xml:space="preserve">  Base Feeder Weight for Calculating Slide*</t>
  </si>
  <si>
    <t>Calculation of Discounts or Premium</t>
  </si>
  <si>
    <t xml:space="preserve">  Tolerance Above Base Weight</t>
  </si>
  <si>
    <t>Heavy</t>
  </si>
  <si>
    <t xml:space="preserve">  Tolerance Below Base Weight</t>
  </si>
  <si>
    <t>Light</t>
  </si>
  <si>
    <t xml:space="preserve">  Price Slide  - Heaver Than Base Weight</t>
  </si>
  <si>
    <t xml:space="preserve">  Price Slide  - Lower Than Base Weight</t>
  </si>
  <si>
    <t>Slide Discount or Premium</t>
  </si>
  <si>
    <t>Price Slide Discount (-) or Premium (+)</t>
  </si>
  <si>
    <t>Freight Calculation</t>
  </si>
  <si>
    <t>Basis Calculation for a Marketing Cost</t>
  </si>
  <si>
    <t>Cost per loaded mile</t>
  </si>
  <si>
    <t>Sex</t>
  </si>
  <si>
    <t xml:space="preserve">Freight / Location </t>
  </si>
  <si>
    <t>Pounds load</t>
  </si>
  <si>
    <t>Target Return Over Market</t>
  </si>
  <si>
    <t>Distance to Amarillo TX</t>
  </si>
  <si>
    <t>Sex Discount Steers Compared to Heifers</t>
  </si>
  <si>
    <t>Total Per Load</t>
  </si>
  <si>
    <t>Total Basis</t>
  </si>
  <si>
    <t>Per Cwt</t>
  </si>
  <si>
    <t>Total Cost of Marketing Alternative per Cwt.</t>
  </si>
  <si>
    <t>Check Off</t>
  </si>
  <si>
    <t>Calculated Cost of Marketing</t>
  </si>
  <si>
    <t xml:space="preserve">Net Payweight Price </t>
  </si>
  <si>
    <t>&lt;------</t>
  </si>
  <si>
    <t>Per Head Sale Value - Direct Sale</t>
  </si>
  <si>
    <t xml:space="preserve"> Valuation of Heifer as Steer over Valuation as Heifer </t>
  </si>
  <si>
    <t>__________________________________________</t>
  </si>
  <si>
    <t>*750 is the base price to the feeder cattle futures market.</t>
  </si>
  <si>
    <t>Description of Protocol</t>
  </si>
  <si>
    <t>Breeding Method</t>
  </si>
  <si>
    <t xml:space="preserve">First - AI </t>
  </si>
  <si>
    <t>Second AI</t>
  </si>
  <si>
    <t>Natural</t>
  </si>
  <si>
    <t>AI First</t>
  </si>
  <si>
    <t>AI Second</t>
  </si>
  <si>
    <t xml:space="preserve">Natural </t>
  </si>
  <si>
    <t>Total</t>
  </si>
  <si>
    <t>Gender</t>
  </si>
  <si>
    <t>Number of Pregnancies</t>
  </si>
  <si>
    <t>Bull</t>
  </si>
  <si>
    <t>Pregnancy</t>
  </si>
  <si>
    <t>enter a zero in pregnancy %)</t>
  </si>
  <si>
    <t>-</t>
  </si>
  <si>
    <t>Number of Head</t>
  </si>
  <si>
    <t xml:space="preserve">No. of </t>
  </si>
  <si>
    <t>Per</t>
  </si>
  <si>
    <t>Costs First AI Breeding</t>
  </si>
  <si>
    <t>Units</t>
  </si>
  <si>
    <t>$/Unit</t>
  </si>
  <si>
    <t>Female</t>
  </si>
  <si>
    <t>of Total</t>
  </si>
  <si>
    <t>Herd</t>
  </si>
  <si>
    <t>Pregnancy Test</t>
  </si>
  <si>
    <t>Other</t>
  </si>
  <si>
    <t>Semen Cost</t>
  </si>
  <si>
    <t>Straw</t>
  </si>
  <si>
    <t>Total First AI Breeding</t>
  </si>
  <si>
    <t>Second Breeding</t>
  </si>
  <si>
    <t>Exposed</t>
  </si>
  <si>
    <t>Total Second  AI Breeding</t>
  </si>
  <si>
    <t>`</t>
  </si>
  <si>
    <t>Natural Service - Clean Up</t>
  </si>
  <si>
    <t>Clean Up Bull Cost</t>
  </si>
  <si>
    <t>Per Female Exposed</t>
  </si>
  <si>
    <t>Service</t>
  </si>
  <si>
    <t>Total Natural Service Cost</t>
  </si>
  <si>
    <t>Total Herd Breeding Cost</t>
  </si>
  <si>
    <t>Total Herd Cost per Exposed Female</t>
  </si>
  <si>
    <t>Natural Service</t>
  </si>
  <si>
    <t>Cost per Exposed Heifer</t>
  </si>
  <si>
    <t xml:space="preserve">        Head</t>
  </si>
  <si>
    <t>Death Loss-% Purchase cost</t>
  </si>
  <si>
    <t>ROI</t>
  </si>
  <si>
    <t xml:space="preserve">  Interest </t>
  </si>
  <si>
    <t xml:space="preserve">Total </t>
  </si>
  <si>
    <t xml:space="preserve">  Credit for Cull Sales</t>
  </si>
  <si>
    <t>Total Cost of gain</t>
  </si>
  <si>
    <t xml:space="preserve">Total non breeding </t>
  </si>
  <si>
    <t xml:space="preserve">Per Head </t>
  </si>
  <si>
    <t>Marketed</t>
  </si>
  <si>
    <t>Percent of</t>
  </si>
  <si>
    <t>Total Costs</t>
  </si>
  <si>
    <t xml:space="preserve">  Feed &amp; Grazing </t>
  </si>
  <si>
    <t xml:space="preserve">  Total Cost Adjusted for Culls*</t>
  </si>
  <si>
    <t xml:space="preserve">  Process &amp; Health</t>
  </si>
  <si>
    <t>Over all Pregnancy</t>
  </si>
  <si>
    <t>Natural Calves</t>
  </si>
  <si>
    <t xml:space="preserve">Direct Production Cost </t>
  </si>
  <si>
    <t>General &amp; Administrative</t>
  </si>
  <si>
    <t>Financing</t>
  </si>
  <si>
    <t>Total Financing</t>
  </si>
  <si>
    <t>Total General &amp; Administrative</t>
  </si>
  <si>
    <t>Total Direct Costs</t>
  </si>
  <si>
    <t xml:space="preserve"> Culled Heifers - Before Breeding </t>
  </si>
  <si>
    <t xml:space="preserve"> Culled Open Heifers </t>
  </si>
  <si>
    <t>$/Head In</t>
  </si>
  <si>
    <t>General &amp; Administrative Cost</t>
  </si>
  <si>
    <t xml:space="preserve">Grazing and Feeding Cost </t>
  </si>
  <si>
    <t xml:space="preserve">  Total Months Fed and Grazed</t>
  </si>
  <si>
    <t xml:space="preserve">  Grazing and Feeding Days</t>
  </si>
  <si>
    <t>Summary Analysis</t>
  </si>
  <si>
    <t>Net Cost of Bred Replacement  Heifer</t>
  </si>
  <si>
    <t xml:space="preserve"> Bred Heifers Delivery Cost</t>
  </si>
  <si>
    <t>Total Revenue - Net of Delivery Cost</t>
  </si>
  <si>
    <t xml:space="preserve">  Breeding System</t>
  </si>
  <si>
    <t>Summary of Cost Per Bred Heifer</t>
  </si>
  <si>
    <t>% of Cost</t>
  </si>
  <si>
    <t>Semen</t>
  </si>
  <si>
    <t xml:space="preserve">  Total Days and Months Fed and Grazed </t>
  </si>
  <si>
    <t xml:space="preserve">  Cost per Day</t>
  </si>
  <si>
    <t>_____________________________________________________________________</t>
  </si>
  <si>
    <t xml:space="preserve">Females/Bull </t>
  </si>
  <si>
    <t>Stand alone natural service cost per breeding cow.</t>
  </si>
  <si>
    <t>Total Cost, Number of Heifers and per Heifer Cost</t>
  </si>
  <si>
    <t>Clean Up Bull Cost and Cost Per Head**</t>
  </si>
  <si>
    <t>_________________________________________________________________________________________</t>
  </si>
  <si>
    <t>AI Breeding Costs</t>
  </si>
  <si>
    <t>Per Female</t>
  </si>
  <si>
    <t>Total capital Required</t>
  </si>
  <si>
    <t>Interest Rate</t>
  </si>
  <si>
    <t xml:space="preserve">    Annualized</t>
  </si>
  <si>
    <t>Bulls</t>
  </si>
  <si>
    <t xml:space="preserve">      Head</t>
  </si>
  <si>
    <t>Approximate Birth Date</t>
  </si>
  <si>
    <t xml:space="preserve">Cattle Pricing Calculation Using Feeder Futures and Cattle Fax for Slide and Sex  Difference </t>
  </si>
  <si>
    <t xml:space="preserve"> Projected Bred Replacement Heifer Production Cost and ROI  - Weaning Through Breeding and Sale</t>
  </si>
  <si>
    <t>Lb.</t>
  </si>
  <si>
    <t>Grazing</t>
  </si>
  <si>
    <t>Mineral</t>
  </si>
  <si>
    <t>$/Lb</t>
  </si>
  <si>
    <t>DD -Ton</t>
  </si>
  <si>
    <t>Alfalfa -Ton</t>
  </si>
  <si>
    <t>Yardage &amp; Labor</t>
  </si>
  <si>
    <t xml:space="preserve">  Winter Grazing, Feeding  Days &amp; Yardage</t>
  </si>
  <si>
    <t>Prostaglandin</t>
  </si>
  <si>
    <t>AI Technician</t>
  </si>
  <si>
    <t>GnRH</t>
  </si>
  <si>
    <t>Ear Tag</t>
  </si>
  <si>
    <t xml:space="preserve"> MGA Fed 1/2 Lb. Day</t>
  </si>
  <si>
    <t xml:space="preserve"> Pelvic Measure and Exam.</t>
  </si>
  <si>
    <t>Culled at Preg. Testing</t>
  </si>
  <si>
    <t>Culled</t>
  </si>
  <si>
    <t>$/Day</t>
  </si>
  <si>
    <t>Turn Out Date</t>
  </si>
  <si>
    <t>Wintering</t>
  </si>
  <si>
    <t>When Error</t>
  </si>
  <si>
    <t xml:space="preserve">to not create a negative number of natural calves. </t>
  </si>
  <si>
    <t xml:space="preserve">In a second AI breeding is used the expected pregnancy </t>
  </si>
  <si>
    <t>Annualized Return on Investment ROI</t>
  </si>
  <si>
    <t>Bangs, Pour-On Preg. Guard Vaccination</t>
  </si>
  <si>
    <t xml:space="preserve">Initial Processing </t>
  </si>
  <si>
    <t>Pregnancy form  AI</t>
  </si>
  <si>
    <t xml:space="preserve">Number of AI Heifers </t>
  </si>
  <si>
    <t xml:space="preserve">  Initial Heifer Cost</t>
  </si>
  <si>
    <t>Labor - cute and heat detection</t>
  </si>
  <si>
    <r>
      <t xml:space="preserve">Heifers Bred </t>
    </r>
    <r>
      <rPr>
        <sz val="10"/>
        <rFont val="Arial"/>
        <family val="2"/>
      </rPr>
      <t xml:space="preserve">( if second breeding is not used </t>
    </r>
  </si>
  <si>
    <t>Number of Head Exposed</t>
  </si>
  <si>
    <t>Per Bred Heif.</t>
  </si>
  <si>
    <t>Summary or Replacement Heifer Breeding Performance Costs and Net Margin</t>
  </si>
  <si>
    <t xml:space="preserve"> AI Bred Heifers</t>
  </si>
  <si>
    <t>Net Average Price of Bred Heifers</t>
  </si>
  <si>
    <t>(Heat Detection &amp; Timed AI)</t>
  </si>
  <si>
    <t>Estrotect Patches</t>
  </si>
  <si>
    <t xml:space="preserve">  Other</t>
  </si>
  <si>
    <t>Total Bred Heifer Cost Adjusted for Culls</t>
  </si>
  <si>
    <t>_______________________________</t>
  </si>
  <si>
    <t xml:space="preserve">  Adjusted Heifer Initial Cost*</t>
  </si>
  <si>
    <t xml:space="preserve">  *Initial Heifer Cost Minus Salvage Value of Culls.</t>
  </si>
  <si>
    <t>Annualized  Return on Investment (ROI)**</t>
  </si>
  <si>
    <t>**ROI is calculated by adding interest plus income divided annualized investment.</t>
  </si>
  <si>
    <t>Calculated Number of Pregnancies by Sex</t>
  </si>
  <si>
    <t xml:space="preserve">  G&amp;A &amp; Management</t>
  </si>
  <si>
    <t xml:space="preserve">**Interest is not charged on operating or investment cost as it is included in the cost summary. </t>
  </si>
  <si>
    <t>Bull Investment and Operating Interest</t>
  </si>
  <si>
    <t>Bull interest on operating cost &amp; investment per female.</t>
  </si>
  <si>
    <t>Net Income (loss) per Bred Heifers ($/Hd.)</t>
  </si>
  <si>
    <t>Net Income (loss) for All Heifers</t>
  </si>
  <si>
    <t>Net Income (loss) Per Bred Heifer</t>
  </si>
  <si>
    <t>(Heat detection &amp; Timed AI)</t>
  </si>
  <si>
    <t>Total interest cost</t>
  </si>
  <si>
    <t>Interest cost per head.</t>
  </si>
  <si>
    <t>Bull Natural Service Interest</t>
  </si>
  <si>
    <t>Bull interest AI</t>
  </si>
  <si>
    <t>Natural service with same clean up bulls</t>
  </si>
  <si>
    <t>Over all Pregnancy - Natural Service</t>
  </si>
  <si>
    <t>AI Price Difference per Head of Bred Heifers</t>
  </si>
  <si>
    <t>Conventional  (see sheet 3)</t>
  </si>
  <si>
    <t>Enter 1 if using Conventional  AI, 2 if Natural Service for Breeding</t>
  </si>
  <si>
    <t>Number of bulls entered in sheet 3 Conventional  Breeding Cost</t>
  </si>
  <si>
    <t>Conventional  &amp; Clean Up Bulls</t>
  </si>
  <si>
    <t xml:space="preserve">Conventional  Herd Breeding Cost </t>
  </si>
  <si>
    <t>Conventional  Pregnancy Rate</t>
  </si>
  <si>
    <t xml:space="preserve">Conventional AI  Pregnancy Rate </t>
  </si>
  <si>
    <t>Breeding Angus heifers with Conventional  AI to low birth wt. sires</t>
  </si>
  <si>
    <t>Conventional AI</t>
  </si>
  <si>
    <t>AI with Conventional  AI follow natural service clean up bulls</t>
  </si>
  <si>
    <r>
      <t>Management</t>
    </r>
    <r>
      <rPr>
        <sz val="11"/>
        <rFont val="Arial"/>
        <family val="2"/>
      </rPr>
      <t xml:space="preserve"> (% of Gross Income, per Hd &amp; Total)</t>
    </r>
  </si>
  <si>
    <t>Interest Cost</t>
  </si>
  <si>
    <t>Management return  on capital required</t>
  </si>
  <si>
    <t>Management return  on gross income.</t>
  </si>
  <si>
    <t>&amp; of Total</t>
  </si>
  <si>
    <t>Not Adj. Cost</t>
  </si>
  <si>
    <t>% of Adj. Cost*</t>
  </si>
  <si>
    <t>AI</t>
  </si>
  <si>
    <t>Net per Head</t>
  </si>
  <si>
    <t>$/Hd. Exposed</t>
  </si>
  <si>
    <t>Hd. Exposed</t>
  </si>
  <si>
    <t>Pregancy testing is a general production cost.</t>
  </si>
  <si>
    <t xml:space="preserve"> Natural Service Bred Heifers</t>
  </si>
  <si>
    <t>As percent of total production cost.</t>
  </si>
  <si>
    <t>Conventional AI Semen Costs as % of Breeding &amp; Total Cost</t>
  </si>
  <si>
    <t>Per AI Pregnancy</t>
  </si>
  <si>
    <t>Breeding System Total Cost Per Bred Female</t>
  </si>
  <si>
    <t>Bred Heifer Sales Price (Natural and Bred AI)</t>
  </si>
  <si>
    <t xml:space="preserve">Per Breeding Culling Date </t>
  </si>
  <si>
    <t xml:space="preserve"> Projected Bred Replacement Heifer Production Cost and ROI  </t>
  </si>
  <si>
    <t xml:space="preserve"> Weaning Through Breeding and Sale</t>
  </si>
  <si>
    <t>Age at first culling</t>
  </si>
  <si>
    <t>Age breeding</t>
  </si>
  <si>
    <t>Age at delivery</t>
  </si>
  <si>
    <t>Age at calving</t>
  </si>
  <si>
    <t xml:space="preserve">     Months</t>
  </si>
  <si>
    <t>Age when opens sold</t>
  </si>
  <si>
    <t>Other Health</t>
  </si>
  <si>
    <t xml:space="preserve">  Pregnancy Test</t>
  </si>
  <si>
    <t xml:space="preserve">  Breeding System </t>
  </si>
  <si>
    <t xml:space="preserve">  Pre-Breeding Evaluation &amp; Selection</t>
  </si>
  <si>
    <t>Breeding System</t>
  </si>
  <si>
    <t>Total Breeding System</t>
  </si>
  <si>
    <t xml:space="preserve">  Bull Cost</t>
  </si>
  <si>
    <t>Per Exposed</t>
  </si>
  <si>
    <r>
      <t xml:space="preserve">Breeding Cost if Using Conventional  - </t>
    </r>
    <r>
      <rPr>
        <sz val="10"/>
        <rFont val="Arial"/>
        <family val="2"/>
      </rPr>
      <t>(1 in C4)</t>
    </r>
  </si>
  <si>
    <t>Bred Heifers</t>
  </si>
  <si>
    <t>TX</t>
  </si>
  <si>
    <t>Version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</si>
</sst>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[$$-409]#,##0_);\([$$-409]#,##0\)"/>
    <numFmt numFmtId="168" formatCode="0_)"/>
    <numFmt numFmtId="169" formatCode="[$$-409]#,##0.00_);\([$$-409]#,##0.00\)"/>
    <numFmt numFmtId="170" formatCode="[$$-409]#,##0"/>
    <numFmt numFmtId="171" formatCode="[$$-409]#,##0.00"/>
    <numFmt numFmtId="172" formatCode="[$$-409]#,##0.00_);[Red]\([$$-409]#,##0.00\)"/>
    <numFmt numFmtId="173" formatCode="#,##0.0_);\(#,##0.0\)"/>
    <numFmt numFmtId="174" formatCode="[$-409]dddd\,\ mmmm\ dd\,\ yyyy"/>
    <numFmt numFmtId="175" formatCode="[$-409]d\-mmm\-yy;@"/>
    <numFmt numFmtId="176" formatCode="&quot;$&quot;#,##0.0_);[Red]\(&quot;$&quot;#,##0.0\)"/>
    <numFmt numFmtId="177" formatCode="0.000"/>
    <numFmt numFmtId="178" formatCode="0.0"/>
    <numFmt numFmtId="179" formatCode="0.0000"/>
    <numFmt numFmtId="180" formatCode="mm/dd/yy;@"/>
    <numFmt numFmtId="181" formatCode="_(* #,##0_);_(* \(#,##0\);_(* &quot;-&quot;??_);_(@_)"/>
    <numFmt numFmtId="182" formatCode="[$$-409]#,##0_);[Red]\([$$-409]#,##0\)"/>
    <numFmt numFmtId="183" formatCode="_(&quot;$&quot;* #,##0_);_(&quot;$&quot;* \(#,##0\);_(&quot;$&quot;* &quot;-&quot;??_);_(@_)"/>
    <numFmt numFmtId="184" formatCode="0.0%"/>
    <numFmt numFmtId="185" formatCode="#,##0.0_);[Red]\(#,##0.0\)"/>
    <numFmt numFmtId="186" formatCode="0.00000000"/>
    <numFmt numFmtId="187" formatCode="0.0000000"/>
    <numFmt numFmtId="188" formatCode="0.000000"/>
    <numFmt numFmtId="189" formatCode="0.00000"/>
    <numFmt numFmtId="190" formatCode="&quot;$&quot;#,##0.000_);[Red]\(&quot;$&quot;#,##0.000\)"/>
    <numFmt numFmtId="191" formatCode="#,##0.0"/>
    <numFmt numFmtId="192" formatCode="&quot;$&quot;#,##0.00;[Red]&quot;$&quot;#,##0.00"/>
    <numFmt numFmtId="193" formatCode="&quot;$&quot;#,##0.0_);\(&quot;$&quot;#,##0.0\)"/>
    <numFmt numFmtId="194" formatCode="&quot;$&quot;#,##0.0;[Red]&quot;$&quot;#,##0.0"/>
    <numFmt numFmtId="195" formatCode="&quot;$&quot;#,##0;[Red]&quot;$&quot;#,##0"/>
    <numFmt numFmtId="196" formatCode="[$$-409]#,##0.0_);[Red]\([$$-409]#,##0.0\)"/>
    <numFmt numFmtId="197" formatCode="0.000%"/>
    <numFmt numFmtId="198" formatCode="_(* #,##0.0_);_(* \(#,##0.0\);_(* &quot;-&quot;??_);_(@_)"/>
    <numFmt numFmtId="199" formatCode="&quot;$&quot;#,##0.000"/>
    <numFmt numFmtId="200" formatCode="mmmm\ d\,\ yyyy"/>
    <numFmt numFmtId="201" formatCode="0.0_);[Red]\(0.0\)"/>
    <numFmt numFmtId="202" formatCode="0_);\(0\)"/>
    <numFmt numFmtId="203" formatCode="0_);[Red]\(0\)"/>
    <numFmt numFmtId="204" formatCode="0.000_);[Red]\(0.000\)"/>
    <numFmt numFmtId="205" formatCode="0.00_);[Red]\(0.00\)"/>
    <numFmt numFmtId="206" formatCode="[$-409]h:mm:ss\ AM/PM"/>
    <numFmt numFmtId="207" formatCode="_(* #,##0.000_);_(* \(#,##0.000\);_(* &quot;-&quot;??_);_(@_)"/>
    <numFmt numFmtId="208" formatCode="_(* #,##0.0000_);_(* \(#,##0.0000\);_(* &quot;-&quot;??_);_(@_)"/>
    <numFmt numFmtId="209" formatCode="_(* #,##0.00000_);_(* \(#,##0.00000\);_(* &quot;-&quot;??_);_(@_)"/>
    <numFmt numFmtId="210" formatCode="_(* #,##0.000000_);_(* \(#,##0.00000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66">
    <font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color indexed="39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color indexed="39"/>
      <name val="Arial"/>
      <family val="2"/>
    </font>
    <font>
      <b/>
      <i/>
      <sz val="12"/>
      <name val="Arial"/>
      <family val="2"/>
    </font>
    <font>
      <sz val="10"/>
      <color indexed="3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trike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2"/>
      <color indexed="12"/>
      <name val="Arial"/>
      <family val="0"/>
    </font>
    <font>
      <sz val="11"/>
      <name val="Arial"/>
      <family val="2"/>
    </font>
    <font>
      <sz val="12"/>
      <color indexed="48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7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CC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8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6" fontId="5" fillId="0" borderId="0" xfId="0" applyNumberFormat="1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8" fontId="5" fillId="0" borderId="0" xfId="0" applyNumberFormat="1" applyFont="1" applyAlignment="1" applyProtection="1">
      <alignment/>
      <protection locked="0"/>
    </xf>
    <xf numFmtId="6" fontId="3" fillId="0" borderId="0" xfId="0" applyNumberFormat="1" applyFont="1" applyAlignment="1">
      <alignment/>
    </xf>
    <xf numFmtId="8" fontId="0" fillId="0" borderId="0" xfId="0" applyNumberFormat="1" applyAlignment="1">
      <alignment/>
    </xf>
    <xf numFmtId="17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6" fontId="2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184" fontId="1" fillId="0" borderId="0" xfId="58" applyNumberFormat="1" applyFont="1" applyAlignment="1">
      <alignment/>
    </xf>
    <xf numFmtId="0" fontId="7" fillId="0" borderId="0" xfId="0" applyFont="1" applyAlignment="1">
      <alignment/>
    </xf>
    <xf numFmtId="1" fontId="5" fillId="0" borderId="10" xfId="0" applyNumberFormat="1" applyFont="1" applyBorder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84" fontId="0" fillId="0" borderId="0" xfId="58" applyNumberFormat="1" applyFont="1" applyAlignment="1">
      <alignment/>
    </xf>
    <xf numFmtId="184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ont="1" applyAlignment="1" applyProtection="1">
      <alignment/>
      <protection/>
    </xf>
    <xf numFmtId="175" fontId="5" fillId="0" borderId="1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1" fontId="8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>
      <alignment/>
    </xf>
    <xf numFmtId="18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6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1" fontId="8" fillId="0" borderId="10" xfId="0" applyNumberFormat="1" applyFont="1" applyBorder="1" applyAlignment="1" applyProtection="1">
      <alignment/>
      <protection locked="0"/>
    </xf>
    <xf numFmtId="6" fontId="8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200" fontId="9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84" fontId="3" fillId="0" borderId="0" xfId="0" applyNumberFormat="1" applyFont="1" applyAlignment="1">
      <alignment/>
    </xf>
    <xf numFmtId="166" fontId="1" fillId="0" borderId="0" xfId="58" applyNumberFormat="1" applyFont="1" applyAlignment="1">
      <alignment/>
    </xf>
    <xf numFmtId="38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9" fontId="2" fillId="0" borderId="0" xfId="58" applyFont="1" applyAlignment="1">
      <alignment/>
    </xf>
    <xf numFmtId="8" fontId="5" fillId="0" borderId="10" xfId="0" applyNumberFormat="1" applyFont="1" applyBorder="1" applyAlignment="1" applyProtection="1">
      <alignment/>
      <protection locked="0"/>
    </xf>
    <xf numFmtId="6" fontId="3" fillId="0" borderId="0" xfId="0" applyNumberFormat="1" applyFont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175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7" fontId="0" fillId="0" borderId="0" xfId="0" applyNumberForma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175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172" fontId="3" fillId="0" borderId="13" xfId="0" applyNumberFormat="1" applyFont="1" applyBorder="1" applyAlignment="1">
      <alignment/>
    </xf>
    <xf numFmtId="44" fontId="3" fillId="0" borderId="0" xfId="44" applyNumberFormat="1" applyFont="1" applyAlignment="1">
      <alignment horizontal="center"/>
    </xf>
    <xf numFmtId="172" fontId="3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37" fontId="17" fillId="0" borderId="15" xfId="0" applyNumberFormat="1" applyFont="1" applyBorder="1" applyAlignment="1" applyProtection="1">
      <alignment/>
      <protection locked="0"/>
    </xf>
    <xf numFmtId="7" fontId="5" fillId="0" borderId="10" xfId="0" applyNumberFormat="1" applyFont="1" applyBorder="1" applyAlignment="1" applyProtection="1">
      <alignment/>
      <protection locked="0"/>
    </xf>
    <xf numFmtId="7" fontId="2" fillId="0" borderId="0" xfId="0" applyNumberFormat="1" applyFont="1" applyAlignment="1">
      <alignment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7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7" fontId="2" fillId="0" borderId="15" xfId="0" applyNumberFormat="1" applyFont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7" fontId="19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8" fontId="10" fillId="0" borderId="0" xfId="44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left"/>
    </xf>
    <xf numFmtId="7" fontId="3" fillId="0" borderId="0" xfId="0" applyNumberFormat="1" applyFont="1" applyAlignment="1" applyProtection="1">
      <alignment/>
      <protection/>
    </xf>
    <xf numFmtId="8" fontId="17" fillId="0" borderId="15" xfId="0" applyNumberFormat="1" applyFont="1" applyBorder="1" applyAlignment="1" applyProtection="1">
      <alignment/>
      <protection locked="0"/>
    </xf>
    <xf numFmtId="8" fontId="2" fillId="0" borderId="0" xfId="0" applyNumberFormat="1" applyFont="1" applyAlignment="1">
      <alignment/>
    </xf>
    <xf numFmtId="38" fontId="10" fillId="0" borderId="0" xfId="44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8" fontId="2" fillId="0" borderId="15" xfId="0" applyNumberFormat="1" applyFont="1" applyBorder="1" applyAlignment="1" applyProtection="1">
      <alignment/>
      <protection/>
    </xf>
    <xf numFmtId="1" fontId="2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8" fontId="3" fillId="0" borderId="0" xfId="0" applyNumberFormat="1" applyFont="1" applyAlignment="1">
      <alignment/>
    </xf>
    <xf numFmtId="8" fontId="0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/>
    </xf>
    <xf numFmtId="172" fontId="17" fillId="0" borderId="15" xfId="0" applyNumberFormat="1" applyFont="1" applyBorder="1" applyAlignment="1" applyProtection="1">
      <alignment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172" fontId="3" fillId="0" borderId="0" xfId="44" applyNumberFormat="1" applyFont="1" applyAlignment="1">
      <alignment horizontal="right"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Border="1" applyAlignment="1">
      <alignment/>
    </xf>
    <xf numFmtId="7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/>
    </xf>
    <xf numFmtId="1" fontId="17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9" fontId="2" fillId="0" borderId="0" xfId="58" applyFont="1" applyAlignment="1">
      <alignment/>
    </xf>
    <xf numFmtId="0" fontId="2" fillId="0" borderId="0" xfId="0" applyFont="1" applyFill="1" applyAlignment="1" applyProtection="1">
      <alignment/>
      <protection/>
    </xf>
    <xf numFmtId="202" fontId="20" fillId="0" borderId="0" xfId="0" applyNumberFormat="1" applyFont="1" applyFill="1" applyBorder="1" applyAlignment="1" applyProtection="1">
      <alignment/>
      <protection locked="0"/>
    </xf>
    <xf numFmtId="202" fontId="2" fillId="0" borderId="0" xfId="0" applyNumberFormat="1" applyFont="1" applyFill="1" applyBorder="1" applyAlignment="1" applyProtection="1">
      <alignment/>
      <protection/>
    </xf>
    <xf numFmtId="202" fontId="3" fillId="0" borderId="0" xfId="0" applyNumberFormat="1" applyFont="1" applyFill="1" applyBorder="1" applyAlignment="1" applyProtection="1">
      <alignment/>
      <protection locked="0"/>
    </xf>
    <xf numFmtId="202" fontId="2" fillId="0" borderId="0" xfId="0" applyNumberFormat="1" applyFont="1" applyFill="1" applyAlignment="1" applyProtection="1">
      <alignment/>
      <protection/>
    </xf>
    <xf numFmtId="184" fontId="3" fillId="0" borderId="0" xfId="58" applyNumberFormat="1" applyFont="1" applyFill="1" applyAlignment="1" applyProtection="1">
      <alignment/>
      <protection/>
    </xf>
    <xf numFmtId="202" fontId="0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" fontId="3" fillId="0" borderId="0" xfId="0" applyNumberFormat="1" applyFont="1" applyAlignment="1">
      <alignment/>
    </xf>
    <xf numFmtId="1" fontId="2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fill"/>
    </xf>
    <xf numFmtId="0" fontId="0" fillId="0" borderId="0" xfId="0" applyFont="1" applyFill="1" applyAlignment="1">
      <alignment horizontal="fill"/>
    </xf>
    <xf numFmtId="3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184" fontId="2" fillId="0" borderId="0" xfId="58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9" fontId="0" fillId="0" borderId="0" xfId="58" applyFont="1" applyFill="1" applyAlignment="1">
      <alignment/>
    </xf>
    <xf numFmtId="164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7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12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168" fontId="3" fillId="0" borderId="0" xfId="0" applyNumberFormat="1" applyFont="1" applyFill="1" applyAlignment="1">
      <alignment/>
    </xf>
    <xf numFmtId="172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5" fontId="3" fillId="0" borderId="0" xfId="0" applyNumberFormat="1" applyFont="1" applyFill="1" applyAlignment="1">
      <alignment/>
    </xf>
    <xf numFmtId="5" fontId="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9" fontId="3" fillId="0" borderId="0" xfId="58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1" fillId="0" borderId="0" xfId="0" applyNumberFormat="1" applyFont="1" applyAlignment="1" applyProtection="1">
      <alignment/>
      <protection/>
    </xf>
    <xf numFmtId="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6" fontId="2" fillId="0" borderId="0" xfId="0" applyNumberFormat="1" applyFont="1" applyFill="1" applyAlignment="1">
      <alignment/>
    </xf>
    <xf numFmtId="9" fontId="2" fillId="0" borderId="0" xfId="58" applyFont="1" applyFill="1" applyAlignment="1">
      <alignment/>
    </xf>
    <xf numFmtId="1" fontId="17" fillId="0" borderId="10" xfId="0" applyNumberFormat="1" applyFont="1" applyBorder="1" applyAlignment="1" applyProtection="1">
      <alignment/>
      <protection locked="0"/>
    </xf>
    <xf numFmtId="8" fontId="2" fillId="0" borderId="0" xfId="0" applyNumberFormat="1" applyFont="1" applyAlignment="1">
      <alignment/>
    </xf>
    <xf numFmtId="0" fontId="5" fillId="0" borderId="1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166" fontId="17" fillId="0" borderId="0" xfId="0" applyNumberFormat="1" applyFont="1" applyAlignment="1" applyProtection="1">
      <alignment/>
      <protection locked="0"/>
    </xf>
    <xf numFmtId="16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6" fontId="17" fillId="0" borderId="0" xfId="0" applyNumberFormat="1" applyFont="1" applyBorder="1" applyAlignment="1" applyProtection="1">
      <alignment/>
      <protection locked="0"/>
    </xf>
    <xf numFmtId="164" fontId="2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6" fontId="20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8" fontId="17" fillId="0" borderId="0" xfId="0" applyNumberFormat="1" applyFont="1" applyAlignment="1" applyProtection="1">
      <alignment/>
      <protection locked="0"/>
    </xf>
    <xf numFmtId="201" fontId="2" fillId="0" borderId="0" xfId="58" applyNumberFormat="1" applyFont="1" applyAlignment="1" applyProtection="1">
      <alignment horizontal="right"/>
      <protection/>
    </xf>
    <xf numFmtId="201" fontId="17" fillId="0" borderId="0" xfId="58" applyNumberFormat="1" applyFont="1" applyAlignment="1" applyProtection="1">
      <alignment horizontal="right"/>
      <protection locked="0"/>
    </xf>
    <xf numFmtId="1" fontId="2" fillId="0" borderId="0" xfId="58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center"/>
    </xf>
    <xf numFmtId="0" fontId="3" fillId="33" borderId="0" xfId="0" applyFont="1" applyFill="1" applyAlignment="1">
      <alignment/>
    </xf>
    <xf numFmtId="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5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6" fontId="3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184" fontId="3" fillId="33" borderId="0" xfId="58" applyNumberFormat="1" applyFont="1" applyFill="1" applyAlignment="1">
      <alignment/>
    </xf>
    <xf numFmtId="178" fontId="5" fillId="33" borderId="0" xfId="0" applyNumberFormat="1" applyFont="1" applyFill="1" applyAlignment="1" applyProtection="1">
      <alignment/>
      <protection locked="0"/>
    </xf>
    <xf numFmtId="8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6" fontId="3" fillId="33" borderId="0" xfId="0" applyNumberFormat="1" applyFont="1" applyFill="1" applyAlignment="1">
      <alignment/>
    </xf>
    <xf numFmtId="184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6" fontId="1" fillId="33" borderId="0" xfId="0" applyNumberFormat="1" applyFont="1" applyFill="1" applyAlignment="1">
      <alignment/>
    </xf>
    <xf numFmtId="166" fontId="3" fillId="33" borderId="0" xfId="0" applyNumberFormat="1" applyFont="1" applyFill="1" applyBorder="1" applyAlignment="1">
      <alignment/>
    </xf>
    <xf numFmtId="1" fontId="2" fillId="33" borderId="0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" fontId="2" fillId="33" borderId="0" xfId="0" applyNumberFormat="1" applyFont="1" applyFill="1" applyBorder="1" applyAlignment="1">
      <alignment/>
    </xf>
    <xf numFmtId="8" fontId="1" fillId="33" borderId="0" xfId="0" applyNumberFormat="1" applyFont="1" applyFill="1" applyAlignment="1">
      <alignment/>
    </xf>
    <xf numFmtId="9" fontId="3" fillId="33" borderId="0" xfId="58" applyFont="1" applyFill="1" applyAlignment="1">
      <alignment/>
    </xf>
    <xf numFmtId="0" fontId="21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Border="1" applyAlignment="1">
      <alignment/>
    </xf>
    <xf numFmtId="7" fontId="0" fillId="0" borderId="0" xfId="0" applyNumberFormat="1" applyAlignment="1">
      <alignment/>
    </xf>
    <xf numFmtId="171" fontId="3" fillId="0" borderId="0" xfId="0" applyNumberFormat="1" applyFont="1" applyFill="1" applyAlignment="1">
      <alignment horizontal="center"/>
    </xf>
    <xf numFmtId="171" fontId="3" fillId="0" borderId="0" xfId="0" applyNumberFormat="1" applyFont="1" applyAlignment="1">
      <alignment/>
    </xf>
    <xf numFmtId="6" fontId="2" fillId="0" borderId="0" xfId="0" applyNumberFormat="1" applyFont="1" applyFill="1" applyAlignment="1">
      <alignment/>
    </xf>
    <xf numFmtId="10" fontId="0" fillId="0" borderId="0" xfId="58" applyNumberFormat="1" applyFont="1" applyAlignment="1">
      <alignment/>
    </xf>
    <xf numFmtId="6" fontId="1" fillId="0" borderId="0" xfId="0" applyNumberFormat="1" applyFont="1" applyAlignment="1" applyProtection="1">
      <alignment/>
      <protection/>
    </xf>
    <xf numFmtId="166" fontId="1" fillId="33" borderId="0" xfId="0" applyNumberFormat="1" applyFont="1" applyFill="1" applyAlignment="1">
      <alignment/>
    </xf>
    <xf numFmtId="8" fontId="2" fillId="0" borderId="0" xfId="0" applyNumberFormat="1" applyFont="1" applyAlignment="1" applyProtection="1">
      <alignment/>
      <protection/>
    </xf>
    <xf numFmtId="176" fontId="3" fillId="33" borderId="0" xfId="0" applyNumberFormat="1" applyFont="1" applyFill="1" applyAlignment="1" applyProtection="1">
      <alignment/>
      <protection/>
    </xf>
    <xf numFmtId="43" fontId="7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3" fontId="3" fillId="33" borderId="0" xfId="0" applyNumberFormat="1" applyFont="1" applyFill="1" applyAlignment="1">
      <alignment/>
    </xf>
    <xf numFmtId="0" fontId="8" fillId="0" borderId="10" xfId="0" applyFont="1" applyBorder="1" applyAlignment="1" applyProtection="1">
      <alignment/>
      <protection locked="0"/>
    </xf>
    <xf numFmtId="7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172" fontId="3" fillId="33" borderId="0" xfId="44" applyNumberFormat="1" applyFont="1" applyFill="1" applyBorder="1" applyAlignment="1">
      <alignment horizontal="right"/>
    </xf>
    <xf numFmtId="172" fontId="3" fillId="33" borderId="0" xfId="44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5" fontId="0" fillId="0" borderId="0" xfId="0" applyNumberFormat="1" applyAlignment="1">
      <alignment/>
    </xf>
    <xf numFmtId="0" fontId="2" fillId="33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37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68" fontId="3" fillId="33" borderId="0" xfId="0" applyNumberFormat="1" applyFont="1" applyFill="1" applyAlignment="1">
      <alignment/>
    </xf>
    <xf numFmtId="5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164" fontId="21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81" fontId="5" fillId="0" borderId="10" xfId="42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164" fontId="24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8" fontId="0" fillId="0" borderId="0" xfId="0" applyNumberFormat="1" applyFont="1" applyAlignment="1">
      <alignment/>
    </xf>
    <xf numFmtId="8" fontId="5" fillId="0" borderId="0" xfId="0" applyNumberFormat="1" applyFont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/>
    </xf>
    <xf numFmtId="184" fontId="3" fillId="0" borderId="0" xfId="58" applyNumberFormat="1" applyFont="1" applyFill="1" applyAlignment="1">
      <alignment/>
    </xf>
    <xf numFmtId="9" fontId="0" fillId="0" borderId="0" xfId="58" applyFont="1" applyAlignment="1">
      <alignment/>
    </xf>
    <xf numFmtId="0" fontId="3" fillId="0" borderId="0" xfId="0" applyFont="1" applyAlignment="1" applyProtection="1">
      <alignment/>
      <protection/>
    </xf>
    <xf numFmtId="1" fontId="25" fillId="0" borderId="0" xfId="0" applyNumberFormat="1" applyFont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/>
    </xf>
    <xf numFmtId="9" fontId="0" fillId="0" borderId="0" xfId="0" applyNumberFormat="1" applyAlignment="1">
      <alignment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178" fontId="10" fillId="0" borderId="0" xfId="0" applyNumberFormat="1" applyFont="1" applyAlignment="1" applyProtection="1">
      <alignment/>
      <protection locked="0"/>
    </xf>
    <xf numFmtId="197" fontId="1" fillId="0" borderId="0" xfId="58" applyNumberFormat="1" applyFont="1" applyAlignment="1">
      <alignment/>
    </xf>
    <xf numFmtId="8" fontId="2" fillId="0" borderId="0" xfId="0" applyNumberFormat="1" applyFont="1" applyFill="1" applyAlignment="1">
      <alignment/>
    </xf>
    <xf numFmtId="164" fontId="18" fillId="0" borderId="0" xfId="0" applyNumberFormat="1" applyFont="1" applyAlignment="1">
      <alignment/>
    </xf>
    <xf numFmtId="8" fontId="3" fillId="33" borderId="0" xfId="0" applyNumberFormat="1" applyFont="1" applyFill="1" applyAlignment="1" applyProtection="1">
      <alignment/>
      <protection/>
    </xf>
    <xf numFmtId="0" fontId="25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84" fontId="2" fillId="0" borderId="0" xfId="58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1" fontId="5" fillId="0" borderId="10" xfId="0" applyNumberFormat="1" applyFont="1" applyBorder="1" applyAlignment="1" applyProtection="1">
      <alignment horizontal="left"/>
      <protection locked="0"/>
    </xf>
    <xf numFmtId="184" fontId="3" fillId="0" borderId="0" xfId="58" applyNumberFormat="1" applyFont="1" applyAlignment="1">
      <alignment/>
    </xf>
    <xf numFmtId="8" fontId="2" fillId="33" borderId="0" xfId="0" applyNumberFormat="1" applyFont="1" applyFill="1" applyAlignment="1">
      <alignment/>
    </xf>
    <xf numFmtId="181" fontId="2" fillId="0" borderId="0" xfId="42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>
      <alignment horizontal="center"/>
    </xf>
    <xf numFmtId="175" fontId="2" fillId="0" borderId="0" xfId="0" applyNumberFormat="1" applyFont="1" applyBorder="1" applyAlignment="1" applyProtection="1">
      <alignment/>
      <protection/>
    </xf>
    <xf numFmtId="175" fontId="2" fillId="0" borderId="17" xfId="0" applyNumberFormat="1" applyFont="1" applyBorder="1" applyAlignment="1" applyProtection="1">
      <alignment/>
      <protection/>
    </xf>
    <xf numFmtId="175" fontId="2" fillId="0" borderId="18" xfId="0" applyNumberFormat="1" applyFont="1" applyBorder="1" applyAlignment="1" applyProtection="1">
      <alignment/>
      <protection/>
    </xf>
    <xf numFmtId="178" fontId="17" fillId="0" borderId="10" xfId="0" applyNumberFormat="1" applyFont="1" applyBorder="1" applyAlignment="1" applyProtection="1">
      <alignment/>
      <protection locked="0"/>
    </xf>
    <xf numFmtId="10" fontId="3" fillId="0" borderId="0" xfId="58" applyNumberFormat="1" applyFont="1" applyAlignment="1">
      <alignment/>
    </xf>
    <xf numFmtId="184" fontId="3" fillId="0" borderId="0" xfId="58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178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5" fontId="64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Bred Replacement Heifer Cost of Production per Head Marketed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325"/>
          <c:y val="0.39175"/>
          <c:w val="0.17375"/>
          <c:h val="0.3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'1.WeanedCalf to Sell Bred Heif '!$B$93:$B$99</c:f>
              <c:strCache/>
            </c:strRef>
          </c:cat>
          <c:val>
            <c:numRef>
              <c:f>'1.WeanedCalf to Sell Bred Heif '!$C$93:$C$99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196"/>
          <c:w val="0.24425"/>
          <c:h val="0.7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103</xdr:row>
      <xdr:rowOff>104775</xdr:rowOff>
    </xdr:from>
    <xdr:to>
      <xdr:col>6</xdr:col>
      <xdr:colOff>781050</xdr:colOff>
      <xdr:row>132</xdr:row>
      <xdr:rowOff>152400</xdr:rowOff>
    </xdr:to>
    <xdr:graphicFrame>
      <xdr:nvGraphicFramePr>
        <xdr:cNvPr id="1" name="Chart 3"/>
        <xdr:cNvGraphicFramePr/>
      </xdr:nvGraphicFramePr>
      <xdr:xfrm>
        <a:off x="342900" y="19564350"/>
        <a:ext cx="78009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24"/>
  <sheetViews>
    <sheetView tabSelected="1" workbookViewId="0" topLeftCell="A1">
      <selection activeCell="A4" sqref="A4"/>
    </sheetView>
  </sheetViews>
  <sheetFormatPr defaultColWidth="8.8515625" defaultRowHeight="12.75"/>
  <cols>
    <col min="1" max="1" width="6.140625" style="0" customWidth="1"/>
    <col min="2" max="2" width="43.421875" style="0" customWidth="1"/>
    <col min="3" max="3" width="17.421875" style="0" customWidth="1"/>
    <col min="4" max="4" width="6.8515625" style="0" customWidth="1"/>
    <col min="5" max="5" width="12.00390625" style="0" customWidth="1"/>
    <col min="6" max="6" width="12.8515625" style="0" customWidth="1"/>
    <col min="7" max="7" width="13.7109375" style="0" customWidth="1"/>
    <col min="8" max="8" width="8.8515625" style="0" customWidth="1"/>
    <col min="9" max="9" width="15.8515625" style="0" customWidth="1"/>
  </cols>
  <sheetData>
    <row r="1" spans="2:7" ht="15">
      <c r="B1" s="355" t="s">
        <v>331</v>
      </c>
      <c r="C1" s="356"/>
      <c r="D1" s="356"/>
      <c r="E1" s="356"/>
      <c r="F1" s="356"/>
      <c r="G1" s="6"/>
    </row>
    <row r="2" spans="2:7" ht="15">
      <c r="B2" s="355" t="s">
        <v>332</v>
      </c>
      <c r="C2" s="356"/>
      <c r="D2" s="356"/>
      <c r="E2" s="356"/>
      <c r="F2" s="356"/>
      <c r="G2" s="6"/>
    </row>
    <row r="3" spans="2:10" ht="15">
      <c r="B3" s="50"/>
      <c r="C3" s="6"/>
      <c r="D3" s="6"/>
      <c r="E3" s="6"/>
      <c r="F3" s="6"/>
      <c r="G3" s="6"/>
      <c r="I3" s="298">
        <v>40657</v>
      </c>
      <c r="J3" s="56" t="s">
        <v>350</v>
      </c>
    </row>
    <row r="4" spans="2:7" ht="15">
      <c r="B4" s="50"/>
      <c r="C4" s="6"/>
      <c r="D4" s="6"/>
      <c r="E4" s="6"/>
      <c r="F4" s="6"/>
      <c r="G4" s="6"/>
    </row>
    <row r="5" spans="2:10" ht="15">
      <c r="B5" s="50" t="s">
        <v>85</v>
      </c>
      <c r="C5" s="223"/>
      <c r="D5" s="223"/>
      <c r="E5" s="6"/>
      <c r="F5" s="6"/>
      <c r="G5" s="6"/>
      <c r="I5" s="3"/>
      <c r="J5" s="61"/>
    </row>
    <row r="6" spans="2:11" ht="15">
      <c r="B6" s="357" t="s">
        <v>309</v>
      </c>
      <c r="C6" s="358"/>
      <c r="D6" s="359"/>
      <c r="E6" s="6"/>
      <c r="F6" s="6"/>
      <c r="K6" s="315"/>
    </row>
    <row r="7" spans="2:11" ht="15">
      <c r="B7" s="341"/>
      <c r="C7" s="223"/>
      <c r="D7" s="223"/>
      <c r="E7" s="6"/>
      <c r="F7" s="6"/>
      <c r="K7" s="315"/>
    </row>
    <row r="8" spans="2:11" ht="15">
      <c r="B8" s="2"/>
      <c r="C8" s="2"/>
      <c r="D8" s="3" t="s">
        <v>337</v>
      </c>
      <c r="E8" s="56"/>
      <c r="G8" s="3"/>
      <c r="K8" s="38"/>
    </row>
    <row r="9" spans="2:11" ht="15">
      <c r="B9" s="2" t="s">
        <v>75</v>
      </c>
      <c r="C9" s="34">
        <v>40831</v>
      </c>
      <c r="G9" s="2"/>
      <c r="H9" s="2"/>
      <c r="J9" s="2"/>
      <c r="K9" s="2"/>
    </row>
    <row r="10" spans="2:11" ht="15">
      <c r="B10" s="2" t="s">
        <v>239</v>
      </c>
      <c r="C10" s="354">
        <v>40617</v>
      </c>
      <c r="D10" s="1"/>
      <c r="H10" s="2"/>
      <c r="J10" s="2"/>
      <c r="K10" s="2"/>
    </row>
    <row r="11" spans="4:11" ht="15">
      <c r="D11" s="41">
        <f>((C9-C10)/(365/12))</f>
        <v>7.035616438356164</v>
      </c>
      <c r="E11" s="2" t="s">
        <v>68</v>
      </c>
      <c r="G11" s="2"/>
      <c r="H11" s="2"/>
      <c r="J11" s="2"/>
      <c r="K11" s="2"/>
    </row>
    <row r="12" spans="2:11" ht="15">
      <c r="B12" s="4"/>
      <c r="C12" s="2"/>
      <c r="D12" s="342"/>
      <c r="E12" s="60"/>
      <c r="G12" s="2"/>
      <c r="H12" s="2"/>
      <c r="J12" s="2"/>
      <c r="K12" s="2"/>
    </row>
    <row r="13" spans="2:11" ht="15">
      <c r="B13" s="2" t="s">
        <v>330</v>
      </c>
      <c r="C13" s="34">
        <v>40964</v>
      </c>
      <c r="D13" s="41">
        <f>((C13-$C$10)/(365/12))</f>
        <v>11.408219178082192</v>
      </c>
      <c r="E13" s="2" t="s">
        <v>333</v>
      </c>
      <c r="G13" s="2"/>
      <c r="H13" s="2"/>
      <c r="J13" s="2"/>
      <c r="K13" s="2"/>
    </row>
    <row r="14" spans="2:11" ht="15">
      <c r="B14" s="3"/>
      <c r="D14" s="1"/>
      <c r="E14" s="18"/>
      <c r="F14" s="56"/>
      <c r="G14" s="2"/>
      <c r="H14" s="2"/>
      <c r="I14" s="2"/>
      <c r="J14" s="2"/>
      <c r="K14" s="2"/>
    </row>
    <row r="15" spans="2:11" ht="15">
      <c r="B15" s="2" t="s">
        <v>76</v>
      </c>
      <c r="C15" s="34">
        <v>41040</v>
      </c>
      <c r="D15" s="41">
        <f>((C15-$C$10)/(365/12))</f>
        <v>13.906849315068493</v>
      </c>
      <c r="E15" s="2" t="s">
        <v>334</v>
      </c>
      <c r="F15" s="2"/>
      <c r="G15" s="2"/>
      <c r="H15" s="2"/>
      <c r="I15" s="2"/>
      <c r="J15" s="2"/>
      <c r="K15" s="2"/>
    </row>
    <row r="16" spans="2:11" ht="15">
      <c r="B16" s="2" t="s">
        <v>82</v>
      </c>
      <c r="C16" s="26">
        <v>60</v>
      </c>
      <c r="D16" s="3"/>
      <c r="E16" s="2"/>
      <c r="F16" s="2"/>
      <c r="G16" s="7"/>
      <c r="H16" s="2"/>
      <c r="I16" s="2"/>
      <c r="J16" s="2"/>
      <c r="K16" s="2"/>
    </row>
    <row r="17" spans="2:11" ht="15">
      <c r="B17" s="2" t="s">
        <v>2</v>
      </c>
      <c r="C17" s="26">
        <v>90</v>
      </c>
      <c r="D17" s="3"/>
      <c r="E17" s="2"/>
      <c r="F17" s="2"/>
      <c r="G17" s="2"/>
      <c r="H17" s="2"/>
      <c r="I17" s="2"/>
      <c r="J17" s="2"/>
      <c r="K17" s="2"/>
    </row>
    <row r="18" spans="2:11" ht="15">
      <c r="B18" s="2"/>
      <c r="C18" s="2"/>
      <c r="D18" s="3"/>
      <c r="E18" s="2"/>
      <c r="F18" s="2"/>
      <c r="G18" s="2"/>
      <c r="H18" s="2"/>
      <c r="I18" s="2"/>
      <c r="J18" s="2"/>
      <c r="K18" s="2"/>
    </row>
    <row r="19" spans="2:11" ht="15">
      <c r="B19" s="2" t="s">
        <v>33</v>
      </c>
      <c r="C19" s="34">
        <v>41142</v>
      </c>
      <c r="D19" s="41">
        <f>((C19-$C$10)/(365/12))</f>
        <v>17.26027397260274</v>
      </c>
      <c r="E19" s="2" t="s">
        <v>338</v>
      </c>
      <c r="F19" s="13"/>
      <c r="G19" s="2"/>
      <c r="H19" s="2"/>
      <c r="I19" s="2"/>
      <c r="J19" s="2"/>
      <c r="K19" s="2"/>
    </row>
    <row r="20" spans="2:11" ht="15">
      <c r="B20" s="2"/>
      <c r="C20" s="192"/>
      <c r="D20" s="3"/>
      <c r="E20" s="2"/>
      <c r="F20" s="2"/>
      <c r="G20" s="2"/>
      <c r="H20" s="2"/>
      <c r="I20" s="2"/>
      <c r="J20" s="2"/>
      <c r="K20" s="2"/>
    </row>
    <row r="21" spans="2:11" ht="15">
      <c r="B21" s="2" t="s">
        <v>67</v>
      </c>
      <c r="C21" s="20">
        <f>C15+C16+C17</f>
        <v>41190</v>
      </c>
      <c r="D21" s="41">
        <f>((C21-C10)/(365/12))</f>
        <v>18.838356164383562</v>
      </c>
      <c r="E21" s="2" t="s">
        <v>335</v>
      </c>
      <c r="F21" s="2"/>
      <c r="G21" s="7"/>
      <c r="H21" s="2"/>
      <c r="I21" s="2"/>
      <c r="J21" s="2"/>
      <c r="K21" s="2"/>
    </row>
    <row r="22" spans="2:11" ht="15">
      <c r="B22" s="2"/>
      <c r="C22" s="2"/>
      <c r="D22" s="1"/>
      <c r="G22" s="7"/>
      <c r="H22" s="340"/>
      <c r="I22" s="2"/>
      <c r="J22" s="2"/>
      <c r="K22" s="2"/>
    </row>
    <row r="23" spans="2:10" ht="15">
      <c r="B23" s="2" t="s">
        <v>0</v>
      </c>
      <c r="C23" s="8">
        <f>C15+283</f>
        <v>41323</v>
      </c>
      <c r="D23" s="41">
        <f>((C23-C10)/(365/12))</f>
        <v>23.21095890410959</v>
      </c>
      <c r="E23" s="2" t="s">
        <v>336</v>
      </c>
      <c r="F23" s="2"/>
      <c r="G23" s="2"/>
      <c r="J23" s="43"/>
    </row>
    <row r="24" ht="12">
      <c r="D24" s="1"/>
    </row>
  </sheetData>
  <sheetProtection/>
  <mergeCells count="3">
    <mergeCell ref="B1:F1"/>
    <mergeCell ref="B2:F2"/>
    <mergeCell ref="B6:D6"/>
  </mergeCells>
  <printOptions/>
  <pageMargins left="0.95" right="0.45" top="0.75" bottom="0.75" header="0.3" footer="0.3"/>
  <pageSetup fitToHeight="1" fitToWidth="1" horizontalDpi="600" verticalDpi="600" orientation="portrait" paperSize="9" scale="97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3"/>
  <sheetViews>
    <sheetView workbookViewId="0" topLeftCell="A1">
      <selection activeCell="E5" sqref="E5"/>
    </sheetView>
  </sheetViews>
  <sheetFormatPr defaultColWidth="8.8515625" defaultRowHeight="12.75"/>
  <cols>
    <col min="1" max="1" width="4.421875" style="0" customWidth="1"/>
    <col min="2" max="2" width="48.00390625" style="0" customWidth="1"/>
    <col min="3" max="3" width="16.421875" style="0" customWidth="1"/>
    <col min="4" max="4" width="15.140625" style="0" customWidth="1"/>
    <col min="5" max="5" width="12.28125" style="0" customWidth="1"/>
    <col min="6" max="6" width="14.140625" style="0" customWidth="1"/>
    <col min="7" max="7" width="14.8515625" style="0" customWidth="1"/>
    <col min="8" max="9" width="13.421875" style="0" customWidth="1"/>
    <col min="10" max="10" width="10.28125" style="0" bestFit="1" customWidth="1"/>
    <col min="11" max="12" width="8.8515625" style="0" customWidth="1"/>
    <col min="13" max="13" width="10.28125" style="0" customWidth="1"/>
    <col min="14" max="14" width="9.7109375" style="0" bestFit="1" customWidth="1"/>
    <col min="15" max="17" width="8.8515625" style="0" customWidth="1"/>
    <col min="18" max="18" width="10.7109375" style="0" bestFit="1" customWidth="1"/>
  </cols>
  <sheetData>
    <row r="1" spans="2:7" ht="15">
      <c r="B1" s="355" t="s">
        <v>241</v>
      </c>
      <c r="C1" s="356"/>
      <c r="D1" s="356"/>
      <c r="E1" s="356"/>
      <c r="F1" s="356"/>
      <c r="G1" s="356"/>
    </row>
    <row r="2" spans="2:7" ht="15">
      <c r="B2" s="50" t="s">
        <v>85</v>
      </c>
      <c r="C2" s="357" t="s">
        <v>309</v>
      </c>
      <c r="D2" s="360"/>
      <c r="E2" s="360"/>
      <c r="F2" s="361"/>
      <c r="G2" s="362"/>
    </row>
    <row r="3" spans="2:10" ht="15">
      <c r="B3" s="50"/>
      <c r="C3" s="223"/>
      <c r="D3" s="223"/>
      <c r="E3" s="203"/>
      <c r="F3" s="6"/>
      <c r="G3" s="6"/>
      <c r="I3" s="3" t="s">
        <v>188</v>
      </c>
      <c r="J3" s="61">
        <f>F70</f>
        <v>0.04347489917055691</v>
      </c>
    </row>
    <row r="4" spans="2:12" ht="15">
      <c r="B4" s="2" t="s">
        <v>303</v>
      </c>
      <c r="E4" s="68">
        <v>1</v>
      </c>
      <c r="F4" s="231" t="str">
        <f>IF(E4=1,"Conventional AI","Natural Service")</f>
        <v>Conventional AI</v>
      </c>
      <c r="G4" s="233"/>
      <c r="I4" t="s">
        <v>201</v>
      </c>
      <c r="K4" s="315">
        <f>C16</f>
        <v>0.93</v>
      </c>
      <c r="L4" t="s">
        <v>319</v>
      </c>
    </row>
    <row r="5" spans="2:12" ht="15">
      <c r="B5" s="2"/>
      <c r="C5" s="2"/>
      <c r="D5" s="3" t="s">
        <v>238</v>
      </c>
      <c r="E5" s="56" t="s">
        <v>239</v>
      </c>
      <c r="G5" s="3"/>
      <c r="I5" t="s">
        <v>201</v>
      </c>
      <c r="K5" s="38">
        <f>D16</f>
        <v>93</v>
      </c>
      <c r="L5" t="s">
        <v>148</v>
      </c>
    </row>
    <row r="6" spans="2:10" ht="15">
      <c r="B6" s="2" t="s">
        <v>75</v>
      </c>
      <c r="C6" s="343">
        <f>'Dates&amp;Descripitions'!C9</f>
        <v>40831</v>
      </c>
      <c r="D6" s="26">
        <v>100</v>
      </c>
      <c r="E6" s="343">
        <f>'Dates&amp;Descripitions'!C10</f>
        <v>40617</v>
      </c>
      <c r="F6" s="2"/>
      <c r="G6" s="2"/>
      <c r="I6" s="283">
        <f>E6</f>
        <v>40617</v>
      </c>
      <c r="J6" s="56" t="s">
        <v>239</v>
      </c>
    </row>
    <row r="7" spans="2:10" ht="15">
      <c r="B7" s="2"/>
      <c r="C7" s="36" t="s">
        <v>16</v>
      </c>
      <c r="D7" s="37" t="s">
        <v>17</v>
      </c>
      <c r="E7" s="37" t="s">
        <v>1</v>
      </c>
      <c r="F7" s="3" t="s">
        <v>25</v>
      </c>
      <c r="G7" s="2"/>
      <c r="I7" s="38">
        <f>((C6-E6)/(365/12))</f>
        <v>7.035616438356164</v>
      </c>
      <c r="J7" t="s">
        <v>68</v>
      </c>
    </row>
    <row r="8" spans="2:10" ht="15">
      <c r="B8" s="2" t="s">
        <v>86</v>
      </c>
      <c r="C8" s="26">
        <v>525</v>
      </c>
      <c r="D8" s="66">
        <v>140</v>
      </c>
      <c r="E8" s="18">
        <f>C8*D8*0.01</f>
        <v>735</v>
      </c>
      <c r="F8" s="18">
        <f>D6*E8</f>
        <v>73500</v>
      </c>
      <c r="G8" s="65"/>
      <c r="I8" s="38">
        <f>((C23-E6)/(365/12))</f>
        <v>13.906849315068493</v>
      </c>
      <c r="J8" t="s">
        <v>69</v>
      </c>
    </row>
    <row r="9" spans="2:10" ht="15">
      <c r="B9" s="4"/>
      <c r="C9" s="2"/>
      <c r="D9" s="39" t="s">
        <v>18</v>
      </c>
      <c r="E9" s="60" t="s">
        <v>21</v>
      </c>
      <c r="F9" s="50" t="s">
        <v>61</v>
      </c>
      <c r="G9" s="2"/>
      <c r="I9" s="38">
        <f>((C26-E6)/(365/12))</f>
        <v>18.838356164383562</v>
      </c>
      <c r="J9" t="s">
        <v>71</v>
      </c>
    </row>
    <row r="10" spans="2:10" ht="15">
      <c r="B10" s="4" t="s">
        <v>19</v>
      </c>
      <c r="C10" s="344">
        <f>'Dates&amp;Descripitions'!C13</f>
        <v>40964</v>
      </c>
      <c r="D10" s="47">
        <v>10</v>
      </c>
      <c r="E10" s="7">
        <f>D6*D10*0.01</f>
        <v>10</v>
      </c>
      <c r="F10" s="2"/>
      <c r="G10" s="2"/>
      <c r="I10" s="38">
        <f>((C28-E6)/(365/12))</f>
        <v>23.21095890410959</v>
      </c>
      <c r="J10" t="s">
        <v>70</v>
      </c>
    </row>
    <row r="11" spans="2:10" ht="15">
      <c r="B11" s="2"/>
      <c r="C11" s="36" t="s">
        <v>16</v>
      </c>
      <c r="D11" s="37" t="s">
        <v>17</v>
      </c>
      <c r="E11" s="37" t="s">
        <v>1</v>
      </c>
      <c r="F11" s="2"/>
      <c r="G11" s="2"/>
      <c r="I11">
        <f>E10</f>
        <v>10</v>
      </c>
      <c r="J11" t="s">
        <v>257</v>
      </c>
    </row>
    <row r="12" spans="2:7" ht="15">
      <c r="B12" s="2" t="s">
        <v>20</v>
      </c>
      <c r="C12" s="26">
        <v>600</v>
      </c>
      <c r="D12" s="66">
        <v>130</v>
      </c>
      <c r="E12" s="18">
        <f>C12*D12*0.01</f>
        <v>780</v>
      </c>
      <c r="F12" s="13">
        <f>E12*E10</f>
        <v>7800</v>
      </c>
      <c r="G12" s="2"/>
    </row>
    <row r="13" spans="2:10" ht="15">
      <c r="B13" s="2" t="s">
        <v>4</v>
      </c>
      <c r="C13" s="47">
        <v>0</v>
      </c>
      <c r="D13" t="s">
        <v>6</v>
      </c>
      <c r="E13" s="2">
        <f>C13*D6*0.01</f>
        <v>0</v>
      </c>
      <c r="F13" s="18" t="s">
        <v>21</v>
      </c>
      <c r="G13" s="2"/>
      <c r="I13" s="42">
        <f>(C12*E10+C19*E17+E16*C27)</f>
        <v>95433</v>
      </c>
      <c r="J13" t="s">
        <v>55</v>
      </c>
    </row>
    <row r="14" spans="2:10" ht="15">
      <c r="B14" s="3" t="s">
        <v>22</v>
      </c>
      <c r="C14" s="17"/>
      <c r="E14" s="41">
        <f>D6-E10-E13</f>
        <v>90</v>
      </c>
      <c r="G14" s="2"/>
      <c r="I14" s="42">
        <f>C8*D6</f>
        <v>52500</v>
      </c>
      <c r="J14" t="s">
        <v>56</v>
      </c>
    </row>
    <row r="15" spans="2:10" ht="15">
      <c r="B15" s="193" t="s">
        <v>302</v>
      </c>
      <c r="C15" s="2" t="s">
        <v>310</v>
      </c>
      <c r="D15" s="77" t="s">
        <v>184</v>
      </c>
      <c r="F15" s="2"/>
      <c r="G15" s="2"/>
      <c r="I15" s="43">
        <f>I13-I14</f>
        <v>42933</v>
      </c>
      <c r="J15" t="s">
        <v>57</v>
      </c>
    </row>
    <row r="16" spans="2:10" ht="15">
      <c r="B16" s="3" t="s">
        <v>32</v>
      </c>
      <c r="C16" s="139">
        <f>'3.Conventional AI BreedingCost'!J14</f>
        <v>0.93</v>
      </c>
      <c r="D16" s="48">
        <v>93</v>
      </c>
      <c r="E16" s="41">
        <f>IF(E4=1,(E14*C16),(E14*D16*0.01))</f>
        <v>83.7</v>
      </c>
      <c r="F16" s="2"/>
      <c r="G16" s="2"/>
      <c r="I16" s="58">
        <f>I15/J27</f>
        <v>1.2878251583797276</v>
      </c>
      <c r="J16" t="s">
        <v>58</v>
      </c>
    </row>
    <row r="17" spans="2:10" ht="15">
      <c r="B17" s="2" t="s">
        <v>23</v>
      </c>
      <c r="C17" s="40"/>
      <c r="E17" s="41">
        <f>E14-E16</f>
        <v>6.299999999999997</v>
      </c>
      <c r="F17" s="2"/>
      <c r="G17" s="2"/>
      <c r="I17" s="19"/>
      <c r="J17" t="s">
        <v>192</v>
      </c>
    </row>
    <row r="18" spans="2:7" ht="15">
      <c r="B18" s="2"/>
      <c r="C18" s="36" t="s">
        <v>16</v>
      </c>
      <c r="D18" s="37" t="s">
        <v>17</v>
      </c>
      <c r="E18" s="37" t="s">
        <v>1</v>
      </c>
      <c r="F18" s="2"/>
      <c r="G18" s="2"/>
    </row>
    <row r="19" spans="2:10" ht="15">
      <c r="B19" s="2" t="s">
        <v>33</v>
      </c>
      <c r="C19" s="26">
        <v>910</v>
      </c>
      <c r="D19" s="46">
        <v>100</v>
      </c>
      <c r="E19" s="44">
        <f>C19*D19*0.01</f>
        <v>910</v>
      </c>
      <c r="F19" s="44">
        <f>E17*E19</f>
        <v>5732.999999999997</v>
      </c>
      <c r="G19" s="343">
        <f>'Dates&amp;Descripitions'!C19</f>
        <v>41142</v>
      </c>
      <c r="I19" s="63">
        <f>($E14-$E16)</f>
        <v>6.299999999999997</v>
      </c>
      <c r="J19" s="23" t="s">
        <v>24</v>
      </c>
    </row>
    <row r="20" spans="2:10" ht="15">
      <c r="B20" s="2" t="s">
        <v>66</v>
      </c>
      <c r="C20" s="192"/>
      <c r="D20" s="67" t="str">
        <f>IF(C2=1,"AI Bred","Natural Bred")</f>
        <v>Natural Bred</v>
      </c>
      <c r="E20" s="49">
        <v>1350</v>
      </c>
      <c r="F20" s="44"/>
      <c r="G20" s="1" t="str">
        <f>IF(F20&gt;0,"&lt;------"," ")</f>
        <v> </v>
      </c>
      <c r="I20" s="63"/>
      <c r="J20" s="23"/>
    </row>
    <row r="21" spans="2:10" ht="15">
      <c r="B21" s="2" t="s">
        <v>66</v>
      </c>
      <c r="C21" s="15"/>
      <c r="D21" s="67" t="str">
        <f>IF(E4=1,"AI Bred"," ")</f>
        <v>AI Bred</v>
      </c>
      <c r="E21" s="49">
        <v>1600</v>
      </c>
      <c r="F21" s="44"/>
      <c r="G21" s="1" t="str">
        <f>IF(F21&gt;0,"&lt;-------"," ")</f>
        <v> </v>
      </c>
      <c r="I21" s="64">
        <f>D84</f>
        <v>-13.421366359438569</v>
      </c>
      <c r="J21" t="s">
        <v>65</v>
      </c>
    </row>
    <row r="22" spans="2:6" ht="15">
      <c r="B22" s="3" t="s">
        <v>301</v>
      </c>
      <c r="E22" s="18">
        <f>E21-E20</f>
        <v>250</v>
      </c>
      <c r="F22" s="56"/>
    </row>
    <row r="23" spans="2:10" ht="15">
      <c r="B23" s="2" t="s">
        <v>76</v>
      </c>
      <c r="C23" s="345">
        <f>'Dates&amp;Descripitions'!C15</f>
        <v>41040</v>
      </c>
      <c r="D23" s="38">
        <f>I8</f>
        <v>13.906849315068493</v>
      </c>
      <c r="E23" s="23" t="s">
        <v>74</v>
      </c>
      <c r="F23" s="2"/>
      <c r="G23" s="2"/>
      <c r="I23" t="s">
        <v>26</v>
      </c>
      <c r="J23" t="s">
        <v>29</v>
      </c>
    </row>
    <row r="24" spans="2:11" ht="15">
      <c r="B24" s="2" t="s">
        <v>82</v>
      </c>
      <c r="C24" s="26">
        <v>60</v>
      </c>
      <c r="E24" s="2"/>
      <c r="F24" s="2"/>
      <c r="G24" s="2"/>
      <c r="I24" s="38">
        <f>C10-C6</f>
        <v>133</v>
      </c>
      <c r="J24" s="42">
        <f>I24*D6</f>
        <v>13300</v>
      </c>
      <c r="K24" t="s">
        <v>27</v>
      </c>
    </row>
    <row r="25" spans="2:11" ht="15">
      <c r="B25" s="2" t="s">
        <v>2</v>
      </c>
      <c r="C25" s="26">
        <v>90</v>
      </c>
      <c r="E25" s="2"/>
      <c r="F25" s="2"/>
      <c r="G25" s="2"/>
      <c r="I25">
        <f>G19-C10</f>
        <v>178</v>
      </c>
      <c r="J25" s="42">
        <f>I25*E14</f>
        <v>16020</v>
      </c>
      <c r="K25" t="s">
        <v>256</v>
      </c>
    </row>
    <row r="26" spans="2:11" ht="15">
      <c r="B26" s="2" t="s">
        <v>67</v>
      </c>
      <c r="C26" s="20">
        <f>C23+C24+C25</f>
        <v>41190</v>
      </c>
      <c r="D26" s="35">
        <f>I9</f>
        <v>18.838356164383562</v>
      </c>
      <c r="E26" s="23" t="s">
        <v>72</v>
      </c>
      <c r="F26" s="2"/>
      <c r="G26" s="2"/>
      <c r="I26" s="38">
        <f>C26-G19</f>
        <v>48</v>
      </c>
      <c r="J26" s="42">
        <f>I26*E16</f>
        <v>4017.6000000000004</v>
      </c>
      <c r="K26" t="s">
        <v>28</v>
      </c>
    </row>
    <row r="27" spans="2:10" ht="15">
      <c r="B27" s="2" t="s">
        <v>81</v>
      </c>
      <c r="C27" s="303">
        <v>1000</v>
      </c>
      <c r="D27" s="35">
        <f>I10</f>
        <v>23.21095890410959</v>
      </c>
      <c r="E27" s="23" t="s">
        <v>73</v>
      </c>
      <c r="F27" s="2"/>
      <c r="G27" s="2"/>
      <c r="I27" s="38">
        <f>I24+I25+I26</f>
        <v>359</v>
      </c>
      <c r="J27" s="42">
        <f>J24+J25+J26</f>
        <v>33337.6</v>
      </c>
    </row>
    <row r="28" spans="2:11" ht="15">
      <c r="B28" s="2" t="s">
        <v>0</v>
      </c>
      <c r="C28" s="8">
        <f>C23+283</f>
        <v>41323</v>
      </c>
      <c r="D28" s="2"/>
      <c r="E28" s="2"/>
      <c r="F28" s="7"/>
      <c r="G28" s="2"/>
      <c r="J28" s="43">
        <f>J27/E16</f>
        <v>398.29868578255673</v>
      </c>
      <c r="K28" t="s">
        <v>30</v>
      </c>
    </row>
    <row r="29" spans="2:7" ht="15">
      <c r="B29" s="2"/>
      <c r="C29" s="8"/>
      <c r="D29" s="2"/>
      <c r="E29" s="2"/>
      <c r="F29" s="7"/>
      <c r="G29" s="2"/>
    </row>
    <row r="30" spans="2:8" ht="15">
      <c r="B30" s="3" t="s">
        <v>61</v>
      </c>
      <c r="C30" s="50" t="s">
        <v>21</v>
      </c>
      <c r="D30" s="50" t="s">
        <v>1</v>
      </c>
      <c r="F30" s="50" t="s">
        <v>152</v>
      </c>
      <c r="G30" s="2"/>
      <c r="H30" s="333" t="s">
        <v>316</v>
      </c>
    </row>
    <row r="31" spans="2:8" ht="15">
      <c r="B31" s="2" t="s">
        <v>209</v>
      </c>
      <c r="C31" s="226">
        <f>E10</f>
        <v>10</v>
      </c>
      <c r="D31" s="13">
        <f>IF(C31=0,0,F31/C31)</f>
        <v>780</v>
      </c>
      <c r="F31" s="13">
        <f>F12</f>
        <v>7800</v>
      </c>
      <c r="G31" s="2"/>
      <c r="H31" s="315">
        <f>F31/$F$36</f>
        <v>0.05570314508526866</v>
      </c>
    </row>
    <row r="32" spans="2:8" ht="15">
      <c r="B32" s="2" t="s">
        <v>210</v>
      </c>
      <c r="C32" s="226">
        <f>E17</f>
        <v>6.299999999999997</v>
      </c>
      <c r="D32" s="13">
        <f>IF(C32=0,0,F32/C32)</f>
        <v>910</v>
      </c>
      <c r="F32" s="13">
        <f>F19</f>
        <v>5732.999999999997</v>
      </c>
      <c r="G32" s="2"/>
      <c r="H32" s="315">
        <f>F32/$F$36</f>
        <v>0.040941811637672444</v>
      </c>
    </row>
    <row r="33" spans="2:15" ht="15">
      <c r="B33" s="2" t="s">
        <v>275</v>
      </c>
      <c r="C33" s="7">
        <f>IF(E4=2,0,'3.Conventional AI BreedingCost'!D13)</f>
        <v>54</v>
      </c>
      <c r="D33" s="13">
        <f>IF(C33=0,0,F33/C33)</f>
        <v>1600</v>
      </c>
      <c r="F33" s="13">
        <f>C33*E21</f>
        <v>86400</v>
      </c>
      <c r="G33" s="2"/>
      <c r="H33" s="315">
        <f>F33/$F$36</f>
        <v>0.6170194532522068</v>
      </c>
      <c r="M33" s="42"/>
      <c r="N33" s="299"/>
      <c r="O33" s="299"/>
    </row>
    <row r="34" spans="2:15" ht="15">
      <c r="B34" s="2" t="s">
        <v>324</v>
      </c>
      <c r="C34" s="7">
        <f>IF(E4=2,E16,'3.Conventional AI BreedingCost'!F15)</f>
        <v>29.7</v>
      </c>
      <c r="D34" s="13">
        <f>IF(C34=0,0,F34/C34)</f>
        <v>1350</v>
      </c>
      <c r="F34" s="13">
        <f>C34*E20</f>
        <v>40095</v>
      </c>
      <c r="G34" s="2"/>
      <c r="H34" s="315">
        <f>F34/$F$36</f>
        <v>0.28633559002485215</v>
      </c>
      <c r="M34" s="42"/>
      <c r="N34" s="299"/>
      <c r="O34" s="299"/>
    </row>
    <row r="35" spans="2:11" ht="15">
      <c r="B35" s="2" t="s">
        <v>218</v>
      </c>
      <c r="C35" s="7">
        <f>E16</f>
        <v>83.7</v>
      </c>
      <c r="D35" s="46">
        <v>0</v>
      </c>
      <c r="F35" s="13">
        <f>-1*C35*D35</f>
        <v>0</v>
      </c>
      <c r="G35" s="2"/>
      <c r="H35" s="315">
        <f>F35/$F$36</f>
        <v>0</v>
      </c>
      <c r="K35" s="58">
        <f>365/12</f>
        <v>30.416666666666668</v>
      </c>
    </row>
    <row r="36" spans="2:14" ht="15">
      <c r="B36" s="231" t="s">
        <v>219</v>
      </c>
      <c r="C36" s="275">
        <f>SUM(C31:C34)</f>
        <v>100</v>
      </c>
      <c r="D36" s="243">
        <f>IF(C36=0,0,F36/C36)</f>
        <v>1400.28</v>
      </c>
      <c r="E36" s="231"/>
      <c r="F36" s="243">
        <f>SUM(F31:F35)</f>
        <v>140028</v>
      </c>
      <c r="G36" s="2"/>
      <c r="L36" s="304" t="s">
        <v>164</v>
      </c>
      <c r="M36" s="304" t="s">
        <v>245</v>
      </c>
      <c r="N36" s="305" t="s">
        <v>258</v>
      </c>
    </row>
    <row r="37" spans="3:14" ht="15">
      <c r="C37" s="8"/>
      <c r="D37" s="7"/>
      <c r="E37" s="2"/>
      <c r="G37" s="2"/>
      <c r="H37" s="1" t="s">
        <v>317</v>
      </c>
      <c r="I37" s="56" t="s">
        <v>244</v>
      </c>
      <c r="J37" s="322">
        <v>0.125</v>
      </c>
      <c r="L37" s="322">
        <v>468</v>
      </c>
      <c r="M37">
        <f>2/16</f>
        <v>0.125</v>
      </c>
      <c r="N37" s="55">
        <f>((L37/2000*M37))</f>
        <v>0.02925</v>
      </c>
    </row>
    <row r="38" spans="2:14" ht="15">
      <c r="B38" s="3" t="s">
        <v>203</v>
      </c>
      <c r="C38" s="8"/>
      <c r="D38" s="225" t="s">
        <v>211</v>
      </c>
      <c r="F38" s="3" t="s">
        <v>25</v>
      </c>
      <c r="G38" s="2"/>
      <c r="H38" s="333" t="s">
        <v>316</v>
      </c>
      <c r="I38" s="56" t="s">
        <v>246</v>
      </c>
      <c r="J38" s="323">
        <v>3.5</v>
      </c>
      <c r="K38" t="s">
        <v>242</v>
      </c>
      <c r="L38" s="322">
        <v>127</v>
      </c>
      <c r="M38" s="299">
        <f>137/2000</f>
        <v>0.0685</v>
      </c>
      <c r="N38" s="55">
        <f>J38*M38</f>
        <v>0.23975000000000002</v>
      </c>
    </row>
    <row r="39" spans="2:14" ht="15">
      <c r="B39" s="233" t="s">
        <v>86</v>
      </c>
      <c r="C39" s="234"/>
      <c r="D39" s="232">
        <f>E8</f>
        <v>735</v>
      </c>
      <c r="E39" s="235"/>
      <c r="F39" s="232">
        <f>F8</f>
        <v>73500</v>
      </c>
      <c r="G39" s="2"/>
      <c r="H39" s="315">
        <f>F39/$F$66</f>
        <v>0.5207175874505898</v>
      </c>
      <c r="I39" s="56" t="s">
        <v>247</v>
      </c>
      <c r="J39" s="323">
        <v>6</v>
      </c>
      <c r="K39" t="s">
        <v>242</v>
      </c>
      <c r="L39" s="322">
        <v>85</v>
      </c>
      <c r="M39" s="299">
        <f>85/2000</f>
        <v>0.0425</v>
      </c>
      <c r="N39" s="55">
        <f>J39*M39</f>
        <v>0.255</v>
      </c>
    </row>
    <row r="40" spans="3:14" ht="15">
      <c r="C40" s="8"/>
      <c r="D40" s="7"/>
      <c r="E40" s="2"/>
      <c r="G40" s="2"/>
      <c r="I40" t="s">
        <v>243</v>
      </c>
      <c r="J40" s="323">
        <v>5</v>
      </c>
      <c r="K40" t="s">
        <v>242</v>
      </c>
      <c r="L40" s="322">
        <v>12</v>
      </c>
      <c r="M40" s="299">
        <v>0.025</v>
      </c>
      <c r="N40" s="55">
        <f>J40*M40</f>
        <v>0.125</v>
      </c>
    </row>
    <row r="41" spans="2:14" ht="15">
      <c r="B41" s="2" t="s">
        <v>213</v>
      </c>
      <c r="C41" s="76" t="s">
        <v>29</v>
      </c>
      <c r="D41" s="256" t="s">
        <v>214</v>
      </c>
      <c r="E41" s="255">
        <f>C42/(365/12)</f>
        <v>13.094751313399124</v>
      </c>
      <c r="F41" s="2"/>
      <c r="G41" s="2"/>
      <c r="I41" s="1" t="s">
        <v>152</v>
      </c>
      <c r="J41" s="329">
        <f>SUM(J37:J40)</f>
        <v>14.625</v>
      </c>
      <c r="K41" s="1" t="s">
        <v>242</v>
      </c>
      <c r="N41" s="53">
        <f>SUM(N37:N40)</f>
        <v>0.649</v>
      </c>
    </row>
    <row r="42" spans="2:14" ht="15">
      <c r="B42" s="2" t="s">
        <v>224</v>
      </c>
      <c r="C42" s="7">
        <f>J28</f>
        <v>398.29868578255673</v>
      </c>
      <c r="D42" s="254" t="s">
        <v>225</v>
      </c>
      <c r="E42" s="2" t="s">
        <v>5</v>
      </c>
      <c r="F42" s="56" t="s">
        <v>259</v>
      </c>
      <c r="G42" s="2"/>
      <c r="L42" s="56" t="s">
        <v>248</v>
      </c>
      <c r="N42" s="307">
        <v>0.3</v>
      </c>
    </row>
    <row r="43" spans="2:14" ht="15">
      <c r="B43" s="2" t="s">
        <v>249</v>
      </c>
      <c r="C43" s="175">
        <f>J43</f>
        <v>216</v>
      </c>
      <c r="D43" s="10">
        <v>1.25</v>
      </c>
      <c r="E43" s="11">
        <f>(365/12)*D43</f>
        <v>38.020833333333336</v>
      </c>
      <c r="F43" s="308">
        <f>C23+7</f>
        <v>41047</v>
      </c>
      <c r="G43" s="2"/>
      <c r="I43" s="298">
        <f>C6</f>
        <v>40831</v>
      </c>
      <c r="J43" s="1">
        <f>F43-I43</f>
        <v>216</v>
      </c>
      <c r="K43" s="56" t="s">
        <v>260</v>
      </c>
      <c r="N43" s="53">
        <f>N41+N42</f>
        <v>0.9490000000000001</v>
      </c>
    </row>
    <row r="44" spans="2:7" ht="15">
      <c r="B44" s="2" t="s">
        <v>215</v>
      </c>
      <c r="C44" s="57">
        <f>C42-C43</f>
        <v>182.29868578255673</v>
      </c>
      <c r="D44" s="10">
        <v>0.8</v>
      </c>
      <c r="E44" s="11">
        <f>(365/12)*D44</f>
        <v>24.333333333333336</v>
      </c>
      <c r="F44" s="306"/>
      <c r="G44" s="2" t="s">
        <v>322</v>
      </c>
    </row>
    <row r="45" spans="2:7" ht="15">
      <c r="B45" s="2"/>
      <c r="C45" s="57"/>
      <c r="D45" s="332" t="s">
        <v>1</v>
      </c>
      <c r="E45" s="11"/>
      <c r="F45" s="306"/>
      <c r="G45" s="41">
        <f>E14</f>
        <v>90</v>
      </c>
    </row>
    <row r="46" spans="2:10" ht="15">
      <c r="B46" s="3" t="s">
        <v>80</v>
      </c>
      <c r="C46" s="57" t="s">
        <v>21</v>
      </c>
      <c r="D46" s="28">
        <f>$C$43*$D$43+$C$44*$D$44</f>
        <v>415.8389486260454</v>
      </c>
      <c r="E46" s="202"/>
      <c r="F46" s="27">
        <f>D46*$D$6</f>
        <v>41583.89486260454</v>
      </c>
      <c r="G46" s="11">
        <f>F46/$C$77</f>
        <v>496.82072715178657</v>
      </c>
      <c r="H46" s="315">
        <f aca="true" t="shared" si="0" ref="H46:H59">F46/$F$66</f>
        <v>0.294604971559924</v>
      </c>
      <c r="I46" s="6" t="s">
        <v>10</v>
      </c>
      <c r="J46" s="6" t="s">
        <v>9</v>
      </c>
    </row>
    <row r="47" spans="2:10" ht="15">
      <c r="B47" s="2" t="s">
        <v>266</v>
      </c>
      <c r="C47" s="335">
        <f>+D6</f>
        <v>100</v>
      </c>
      <c r="D47" s="312">
        <v>8</v>
      </c>
      <c r="E47" s="2"/>
      <c r="F47" s="27">
        <f>D47*$D$6</f>
        <v>800</v>
      </c>
      <c r="G47" s="11">
        <f aca="true" t="shared" si="1" ref="G47:G59">F47/$C$77</f>
        <v>9.557945041816009</v>
      </c>
      <c r="H47" s="315">
        <f t="shared" si="0"/>
        <v>0.00566767442123091</v>
      </c>
      <c r="I47" s="6" t="s">
        <v>11</v>
      </c>
      <c r="J47" s="6" t="s">
        <v>12</v>
      </c>
    </row>
    <row r="48" spans="2:10" ht="15">
      <c r="B48" s="16" t="s">
        <v>265</v>
      </c>
      <c r="C48" s="337">
        <v>500</v>
      </c>
      <c r="D48" s="312">
        <v>4</v>
      </c>
      <c r="E48" s="2"/>
      <c r="F48" s="27">
        <f>D48*C48</f>
        <v>2000</v>
      </c>
      <c r="G48" s="11">
        <f t="shared" si="1"/>
        <v>23.894862604540023</v>
      </c>
      <c r="H48" s="315">
        <f t="shared" si="0"/>
        <v>0.014169186053077275</v>
      </c>
      <c r="I48" s="6"/>
      <c r="J48" s="6"/>
    </row>
    <row r="49" spans="2:11" ht="15">
      <c r="B49" s="21" t="s">
        <v>339</v>
      </c>
      <c r="C49" s="337">
        <v>0</v>
      </c>
      <c r="D49" s="312">
        <v>0</v>
      </c>
      <c r="E49" s="336" t="s">
        <v>321</v>
      </c>
      <c r="F49" s="27">
        <f>D49*$D$6</f>
        <v>0</v>
      </c>
      <c r="G49" s="11">
        <f t="shared" si="1"/>
        <v>0</v>
      </c>
      <c r="H49" s="315">
        <f t="shared" si="0"/>
        <v>0</v>
      </c>
      <c r="I49" s="194">
        <f>C27-C8</f>
        <v>475</v>
      </c>
      <c r="J49" s="59">
        <f>D46/I49</f>
        <v>0.8754504181600956</v>
      </c>
      <c r="K49" t="s">
        <v>38</v>
      </c>
    </row>
    <row r="50" spans="2:11" ht="15">
      <c r="B50" s="2" t="s">
        <v>63</v>
      </c>
      <c r="C50" s="2"/>
      <c r="D50" s="271">
        <f>F50/$D$6</f>
        <v>0</v>
      </c>
      <c r="E50" s="274">
        <f>IF(E4=2,('5. Natural Service'!E25),0)</f>
        <v>0</v>
      </c>
      <c r="F50" s="27">
        <f>E50*$E$14</f>
        <v>0</v>
      </c>
      <c r="G50" s="11">
        <f t="shared" si="1"/>
        <v>0</v>
      </c>
      <c r="H50" s="315">
        <f t="shared" si="0"/>
        <v>0</v>
      </c>
      <c r="I50" s="2"/>
      <c r="J50" s="59">
        <f>(D66-E50-E51)/I49</f>
        <v>2.68619722872179</v>
      </c>
      <c r="K50" t="s">
        <v>193</v>
      </c>
    </row>
    <row r="51" spans="2:14" ht="15">
      <c r="B51" s="2" t="s">
        <v>347</v>
      </c>
      <c r="C51" s="41" t="str">
        <f>IF(E4=1,"Conventional "," ")</f>
        <v>Conventional </v>
      </c>
      <c r="D51" s="327">
        <f>F51/$D$6</f>
        <v>122.01299999999999</v>
      </c>
      <c r="E51" s="270">
        <f>IF(E4=1,'3.Conventional AI BreedingCost'!G64,0)</f>
        <v>135.57</v>
      </c>
      <c r="F51" s="27">
        <f>E51*$E$14</f>
        <v>12201.3</v>
      </c>
      <c r="G51" s="11">
        <f t="shared" si="1"/>
        <v>145.77419354838707</v>
      </c>
      <c r="H51" s="315">
        <f t="shared" si="0"/>
        <v>0.08644124489470587</v>
      </c>
      <c r="I51" t="s">
        <v>14</v>
      </c>
      <c r="M51" s="32">
        <f>F50+F51</f>
        <v>12201.3</v>
      </c>
      <c r="N51" t="s">
        <v>15</v>
      </c>
    </row>
    <row r="52" spans="2:13" ht="15">
      <c r="B52" s="16" t="s">
        <v>31</v>
      </c>
      <c r="C52" s="2"/>
      <c r="D52" s="312">
        <v>0</v>
      </c>
      <c r="F52" s="27">
        <f>D52*$E$14</f>
        <v>0</v>
      </c>
      <c r="G52" s="11">
        <f t="shared" si="1"/>
        <v>0</v>
      </c>
      <c r="H52" s="315">
        <f t="shared" si="0"/>
        <v>0</v>
      </c>
      <c r="I52" s="30">
        <f>((F50+F51)/F66)</f>
        <v>0.08644124489470587</v>
      </c>
      <c r="J52" s="31"/>
      <c r="M52" s="19"/>
    </row>
    <row r="53" spans="2:10" ht="15">
      <c r="B53" s="16" t="s">
        <v>31</v>
      </c>
      <c r="C53" s="2"/>
      <c r="D53" s="312">
        <v>0</v>
      </c>
      <c r="F53" s="27">
        <f>D53*$D$6</f>
        <v>0</v>
      </c>
      <c r="G53" s="11">
        <f t="shared" si="1"/>
        <v>0</v>
      </c>
      <c r="H53" s="315">
        <f t="shared" si="0"/>
        <v>0</v>
      </c>
      <c r="I53" s="62">
        <f>F36</f>
        <v>140028</v>
      </c>
      <c r="J53" t="s">
        <v>60</v>
      </c>
    </row>
    <row r="54" spans="2:10" ht="15">
      <c r="B54" s="16" t="s">
        <v>31</v>
      </c>
      <c r="D54" s="312">
        <v>0</v>
      </c>
      <c r="F54" s="27">
        <f>D54*$E$14</f>
        <v>0</v>
      </c>
      <c r="G54" s="11">
        <f t="shared" si="1"/>
        <v>0</v>
      </c>
      <c r="H54" s="315">
        <f t="shared" si="0"/>
        <v>0</v>
      </c>
      <c r="I54" s="54">
        <f>F66</f>
        <v>141151.368364285</v>
      </c>
      <c r="J54" s="23" t="s">
        <v>64</v>
      </c>
    </row>
    <row r="55" spans="2:18" ht="15">
      <c r="B55" s="236" t="s">
        <v>208</v>
      </c>
      <c r="C55" s="242">
        <f>SUM(D46:D54)+D39</f>
        <v>1284.8519486260454</v>
      </c>
      <c r="D55" s="237">
        <f>F55/$D$6</f>
        <v>1300.8519486260454</v>
      </c>
      <c r="E55" s="269"/>
      <c r="F55" s="237">
        <f>SUM(F46:F54)+F39</f>
        <v>130085.19486260453</v>
      </c>
      <c r="G55" s="11">
        <f t="shared" si="1"/>
        <v>1554.1839290633754</v>
      </c>
      <c r="H55" s="315">
        <f t="shared" si="0"/>
        <v>0.9216006643795278</v>
      </c>
      <c r="I55" s="54"/>
      <c r="J55" s="23"/>
      <c r="N55" s="33"/>
      <c r="R55" s="19"/>
    </row>
    <row r="56" spans="2:18" ht="15">
      <c r="B56" s="3" t="s">
        <v>212</v>
      </c>
      <c r="C56" s="2"/>
      <c r="G56" s="2"/>
      <c r="I56" s="273" t="s">
        <v>236</v>
      </c>
      <c r="N56" s="33"/>
      <c r="R56" s="19"/>
    </row>
    <row r="57" spans="2:18" ht="15">
      <c r="B57" s="2" t="s">
        <v>204</v>
      </c>
      <c r="C57" s="2"/>
      <c r="D57" s="14">
        <v>10</v>
      </c>
      <c r="F57" s="27">
        <f>D57*$E$14</f>
        <v>900</v>
      </c>
      <c r="G57" s="11">
        <f t="shared" si="1"/>
        <v>10.75268817204301</v>
      </c>
      <c r="H57" s="315">
        <f t="shared" si="0"/>
        <v>0.006376133723884773</v>
      </c>
      <c r="I57" s="268">
        <f>(($F$39+(SUM($F$46:$F$54)+F59)*0.5))</f>
        <v>104492.59743130227</v>
      </c>
      <c r="J57" s="56" t="s">
        <v>234</v>
      </c>
      <c r="N57" s="33"/>
      <c r="R57" s="19"/>
    </row>
    <row r="58" spans="2:10" ht="15">
      <c r="B58" s="2" t="s">
        <v>312</v>
      </c>
      <c r="C58" s="331">
        <f>I61</f>
        <v>0.032136429856885765</v>
      </c>
      <c r="D58" s="14">
        <v>50</v>
      </c>
      <c r="F58" s="27">
        <f>D58*$E$14</f>
        <v>4500</v>
      </c>
      <c r="G58" s="11">
        <f t="shared" si="1"/>
        <v>53.76344086021505</v>
      </c>
      <c r="H58" s="315">
        <f t="shared" si="0"/>
        <v>0.03188066861942387</v>
      </c>
      <c r="I58" s="267">
        <f>(C63*0.01)*(J28/365)</f>
        <v>0.05456146380582969</v>
      </c>
      <c r="J58" s="56" t="s">
        <v>235</v>
      </c>
    </row>
    <row r="59" spans="2:14" ht="15">
      <c r="B59" s="231" t="s">
        <v>207</v>
      </c>
      <c r="C59" s="231"/>
      <c r="D59" s="237">
        <f>F59/$D$6</f>
        <v>54</v>
      </c>
      <c r="E59" s="237"/>
      <c r="F59" s="237">
        <f>SUM(F57:F58)</f>
        <v>5400</v>
      </c>
      <c r="G59" s="11">
        <f t="shared" si="1"/>
        <v>64.51612903225806</v>
      </c>
      <c r="H59" s="315">
        <f t="shared" si="0"/>
        <v>0.038256802343308645</v>
      </c>
      <c r="I59" s="29">
        <f>I57*I58</f>
        <v>5701.269072725132</v>
      </c>
      <c r="J59" s="272" t="s">
        <v>313</v>
      </c>
      <c r="K59" s="1"/>
      <c r="N59" s="33"/>
    </row>
    <row r="60" spans="2:14" ht="15">
      <c r="B60" s="3"/>
      <c r="C60" s="2"/>
      <c r="D60" s="14"/>
      <c r="F60" s="27"/>
      <c r="G60" s="2"/>
      <c r="I60" s="30">
        <f>F58/I57</f>
        <v>0.04306525161228272</v>
      </c>
      <c r="J60" s="25" t="s">
        <v>314</v>
      </c>
      <c r="K60" s="1"/>
      <c r="N60" s="33"/>
    </row>
    <row r="61" spans="2:10" ht="15">
      <c r="B61" s="224" t="s">
        <v>205</v>
      </c>
      <c r="C61" s="2"/>
      <c r="D61" s="14"/>
      <c r="F61" s="27"/>
      <c r="G61" s="2"/>
      <c r="I61" s="30">
        <f>F58/F36</f>
        <v>0.032136429856885765</v>
      </c>
      <c r="J61" s="25" t="s">
        <v>315</v>
      </c>
    </row>
    <row r="62" spans="2:7" ht="15">
      <c r="B62" s="21" t="s">
        <v>289</v>
      </c>
      <c r="C62" s="2"/>
      <c r="D62" s="14"/>
      <c r="F62" s="11">
        <f>IF(E4=1,I66,I67)</f>
        <v>8.5536</v>
      </c>
      <c r="G62" s="11"/>
    </row>
    <row r="63" spans="2:14" ht="15">
      <c r="B63" s="21" t="s">
        <v>77</v>
      </c>
      <c r="C63" s="47">
        <v>5</v>
      </c>
      <c r="D63" s="22">
        <f>(((($D$39+(((SUM($D$46:$D$54)*0.5)+D59*0.5))))*(C63*0.01))*(J28/365))</f>
        <v>56.576199016804686</v>
      </c>
      <c r="E63" s="19"/>
      <c r="F63" s="27">
        <f>D63*$D$6</f>
        <v>5657.6199016804685</v>
      </c>
      <c r="G63" s="11">
        <f>F63/$C$77</f>
        <v>67.59402510968302</v>
      </c>
      <c r="I63" s="32">
        <f>F36-I54</f>
        <v>-1123.3683642850083</v>
      </c>
      <c r="J63" s="25" t="s">
        <v>13</v>
      </c>
      <c r="K63" s="1"/>
      <c r="N63" s="33"/>
    </row>
    <row r="64" spans="2:11" ht="15">
      <c r="B64" s="236" t="s">
        <v>206</v>
      </c>
      <c r="C64" s="240"/>
      <c r="D64" s="237">
        <f>F64/$D$6</f>
        <v>56.661735016804684</v>
      </c>
      <c r="E64" s="252"/>
      <c r="F64" s="237">
        <f>F62+F63</f>
        <v>5666.173501680469</v>
      </c>
      <c r="G64" s="2"/>
      <c r="H64" s="315">
        <f>F64/$F$66</f>
        <v>0.04014253327716346</v>
      </c>
      <c r="I64" s="53">
        <f>'2. Bull Cost'!G7+'2. Bull Cost'!G12</f>
        <v>5.94</v>
      </c>
      <c r="J64" s="1" t="s">
        <v>290</v>
      </c>
      <c r="K64" s="1"/>
    </row>
    <row r="65" spans="2:9" ht="15">
      <c r="B65" s="21"/>
      <c r="C65" s="17"/>
      <c r="D65" s="22"/>
      <c r="F65" s="27"/>
      <c r="G65" s="2"/>
      <c r="I65" s="55"/>
    </row>
    <row r="66" spans="2:15" ht="15">
      <c r="B66" s="231" t="s">
        <v>78</v>
      </c>
      <c r="C66" s="231"/>
      <c r="D66" s="237">
        <f>F66/$D$6</f>
        <v>1411.51368364285</v>
      </c>
      <c r="E66" s="241"/>
      <c r="F66" s="242">
        <f>F55+F59+F64</f>
        <v>141151.368364285</v>
      </c>
      <c r="G66" s="2"/>
      <c r="H66" s="315">
        <f>F66/$F$66</f>
        <v>1</v>
      </c>
      <c r="I66" s="55">
        <f>'3.Conventional AI BreedingCost'!E58*'1.WeanedCalf to Sell Bred Heif '!I64</f>
        <v>8.5536</v>
      </c>
      <c r="J66" s="25" t="s">
        <v>298</v>
      </c>
      <c r="K66" s="2"/>
      <c r="M66" s="19"/>
      <c r="N66" s="32"/>
      <c r="O66" s="30"/>
    </row>
    <row r="67" spans="2:15" ht="15">
      <c r="B67" s="3"/>
      <c r="C67" s="2"/>
      <c r="D67" s="44"/>
      <c r="E67" s="5"/>
      <c r="F67" s="27"/>
      <c r="G67" s="2"/>
      <c r="I67" s="330">
        <f>(E14/'2. Bull Cost'!F18)*I64</f>
        <v>21.384</v>
      </c>
      <c r="J67" s="56" t="s">
        <v>297</v>
      </c>
      <c r="M67" s="19"/>
      <c r="N67" s="32"/>
      <c r="O67" s="30"/>
    </row>
    <row r="68" spans="2:15" ht="15">
      <c r="B68" s="231" t="s">
        <v>292</v>
      </c>
      <c r="C68" s="233"/>
      <c r="D68" s="327">
        <f>F68/$D$6</f>
        <v>-11.233683642850083</v>
      </c>
      <c r="E68" s="241"/>
      <c r="F68" s="243">
        <f>F36-F66</f>
        <v>-1123.3683642850083</v>
      </c>
      <c r="G68" s="2"/>
      <c r="H68" s="315">
        <f>F68/$F$66</f>
        <v>-0.007958607679847685</v>
      </c>
      <c r="I68" s="311" t="s">
        <v>285</v>
      </c>
      <c r="J68" s="1"/>
      <c r="M68" s="19"/>
      <c r="N68" s="32"/>
      <c r="O68" s="30"/>
    </row>
    <row r="69" spans="2:15" ht="15">
      <c r="B69" s="3"/>
      <c r="C69" s="2"/>
      <c r="D69" s="44"/>
      <c r="E69" s="5"/>
      <c r="F69" s="27"/>
      <c r="G69" s="2"/>
      <c r="J69" s="1" t="s">
        <v>264</v>
      </c>
      <c r="M69" s="19"/>
      <c r="N69" s="32"/>
      <c r="O69" s="30"/>
    </row>
    <row r="70" spans="2:15" ht="15">
      <c r="B70" s="231" t="s">
        <v>284</v>
      </c>
      <c r="C70" s="238"/>
      <c r="D70" s="238"/>
      <c r="E70" s="238"/>
      <c r="F70" s="244">
        <f>I70</f>
        <v>0.04347489917055691</v>
      </c>
      <c r="G70" s="2"/>
      <c r="I70" s="324">
        <f>(F68+F64)/I57</f>
        <v>0.04347489917055691</v>
      </c>
      <c r="J70" s="1" t="s">
        <v>8</v>
      </c>
      <c r="M70" s="19"/>
      <c r="N70" s="32"/>
      <c r="O70" s="30"/>
    </row>
    <row r="71" spans="1:15" ht="15">
      <c r="A71" s="106"/>
      <c r="B71" s="311" t="s">
        <v>285</v>
      </c>
      <c r="C71" s="155"/>
      <c r="D71" s="155"/>
      <c r="E71" s="155"/>
      <c r="F71" s="227"/>
      <c r="G71" s="2"/>
      <c r="I71" s="24"/>
      <c r="J71" s="1"/>
      <c r="M71" s="19"/>
      <c r="N71" s="32"/>
      <c r="O71" s="30"/>
    </row>
    <row r="72" spans="1:15" ht="15">
      <c r="A72" s="106"/>
      <c r="B72" s="154"/>
      <c r="C72" s="155"/>
      <c r="D72" s="155"/>
      <c r="E72" s="155"/>
      <c r="F72" s="227"/>
      <c r="G72" s="2"/>
      <c r="I72" s="24"/>
      <c r="J72" s="1"/>
      <c r="M72" s="19"/>
      <c r="N72" s="32"/>
      <c r="O72" s="30"/>
    </row>
    <row r="73" spans="1:15" ht="15">
      <c r="A73" s="106"/>
      <c r="B73" s="134" t="s">
        <v>216</v>
      </c>
      <c r="C73" s="41" t="s">
        <v>84</v>
      </c>
      <c r="D73" s="3" t="s">
        <v>62</v>
      </c>
      <c r="F73" s="228"/>
      <c r="G73" s="2"/>
      <c r="I73" s="2"/>
      <c r="J73" s="2"/>
      <c r="M73" s="19"/>
      <c r="N73" s="32"/>
      <c r="O73" s="30"/>
    </row>
    <row r="74" spans="2:7" ht="15">
      <c r="B74" s="12" t="s">
        <v>79</v>
      </c>
      <c r="C74" s="41">
        <f>E16</f>
        <v>83.7</v>
      </c>
      <c r="D74" s="13">
        <f>F74/$C$77</f>
        <v>1686.3962767537037</v>
      </c>
      <c r="E74" s="23"/>
      <c r="F74" s="28">
        <f>F66</f>
        <v>141151.368364285</v>
      </c>
      <c r="G74" s="2"/>
    </row>
    <row r="75" spans="2:14" ht="15">
      <c r="B75" s="2"/>
      <c r="C75" s="41"/>
      <c r="D75" s="3"/>
      <c r="N75" s="32"/>
    </row>
    <row r="76" spans="2:14" ht="15">
      <c r="B76" s="12" t="s">
        <v>3</v>
      </c>
      <c r="C76" s="226">
        <f>C31+C32</f>
        <v>16.299999999999997</v>
      </c>
      <c r="D76" s="13">
        <f>F76/$C$77</f>
        <v>-161.68458781362003</v>
      </c>
      <c r="F76" s="13">
        <f>(F31+F32)*-1</f>
        <v>-13532.999999999996</v>
      </c>
      <c r="G76" s="19"/>
      <c r="N76" s="29"/>
    </row>
    <row r="77" spans="2:14" ht="15">
      <c r="B77" s="245" t="s">
        <v>7</v>
      </c>
      <c r="C77" s="246">
        <f>E16</f>
        <v>83.7</v>
      </c>
      <c r="D77" s="243">
        <f>D74+D76</f>
        <v>1524.7116889400836</v>
      </c>
      <c r="E77" s="247"/>
      <c r="F77" s="248">
        <f>F74+F76</f>
        <v>127618.36836428501</v>
      </c>
      <c r="G77" s="29"/>
      <c r="H77" s="55"/>
      <c r="I77" s="55"/>
      <c r="N77" s="32"/>
    </row>
    <row r="78" spans="2:6" ht="15">
      <c r="B78" s="2" t="s">
        <v>83</v>
      </c>
      <c r="C78" s="45">
        <f>C77</f>
        <v>83.7</v>
      </c>
      <c r="D78" s="229">
        <f>D35</f>
        <v>0</v>
      </c>
      <c r="E78" s="56"/>
      <c r="F78" s="13">
        <f>F35</f>
        <v>0</v>
      </c>
    </row>
    <row r="79" ht="12">
      <c r="D79" s="29"/>
    </row>
    <row r="80" spans="2:8" ht="15">
      <c r="B80" s="231" t="s">
        <v>217</v>
      </c>
      <c r="C80" s="249">
        <f>C77</f>
        <v>83.7</v>
      </c>
      <c r="D80" s="241">
        <f>F80/$C$77</f>
        <v>1524.7116889400836</v>
      </c>
      <c r="E80" s="250"/>
      <c r="F80" s="242">
        <f>F77+F78</f>
        <v>127618.36836428501</v>
      </c>
      <c r="G80" s="55"/>
      <c r="H80" s="55"/>
    </row>
    <row r="81" ht="12">
      <c r="I81" s="56"/>
    </row>
    <row r="82" spans="2:9" ht="15">
      <c r="B82" s="233" t="s">
        <v>329</v>
      </c>
      <c r="C82" s="251">
        <f>C74</f>
        <v>83.7</v>
      </c>
      <c r="D82" s="339">
        <f>F82/C82</f>
        <v>1511.2903225806451</v>
      </c>
      <c r="E82" s="233"/>
      <c r="F82" s="232">
        <f>F33+F34</f>
        <v>126495</v>
      </c>
      <c r="H82" s="32"/>
      <c r="I82" s="32"/>
    </row>
    <row r="83" spans="2:6" ht="15">
      <c r="B83" s="2"/>
      <c r="D83" s="2"/>
      <c r="E83" s="2"/>
      <c r="F83" s="2"/>
    </row>
    <row r="84" spans="2:8" ht="15">
      <c r="B84" s="231" t="s">
        <v>291</v>
      </c>
      <c r="C84" s="246">
        <f>C82</f>
        <v>83.7</v>
      </c>
      <c r="D84" s="241">
        <f>F84/$C$77</f>
        <v>-13.421366359438569</v>
      </c>
      <c r="E84" s="231"/>
      <c r="F84" s="241">
        <f>F82-F80</f>
        <v>-1123.3683642850083</v>
      </c>
      <c r="H84" s="19"/>
    </row>
    <row r="85" ht="15">
      <c r="D85" s="3"/>
    </row>
    <row r="88" spans="2:7" ht="15">
      <c r="B88" s="77"/>
      <c r="C88" s="136" t="s">
        <v>194</v>
      </c>
      <c r="D88" s="136" t="s">
        <v>196</v>
      </c>
      <c r="E88" s="137"/>
      <c r="F88" s="76"/>
      <c r="G88" s="230" t="s">
        <v>223</v>
      </c>
    </row>
    <row r="89" spans="2:7" ht="15">
      <c r="B89" s="3" t="s">
        <v>221</v>
      </c>
      <c r="C89" s="136" t="s">
        <v>195</v>
      </c>
      <c r="D89" s="136" t="s">
        <v>197</v>
      </c>
      <c r="E89" s="136" t="s">
        <v>190</v>
      </c>
      <c r="F89" s="136" t="s">
        <v>170</v>
      </c>
      <c r="G89" s="230" t="s">
        <v>222</v>
      </c>
    </row>
    <row r="90" spans="2:10" ht="15">
      <c r="B90" s="2" t="s">
        <v>269</v>
      </c>
      <c r="C90" s="195">
        <f aca="true" t="shared" si="2" ref="C90:C101">E90/$C$80</f>
        <v>878.1362007168458</v>
      </c>
      <c r="D90" s="139">
        <f>E90/$E$101</f>
        <v>0.5759359012504782</v>
      </c>
      <c r="E90" s="195">
        <f>F8</f>
        <v>73500</v>
      </c>
      <c r="J90" s="32"/>
    </row>
    <row r="91" spans="2:10" ht="15">
      <c r="B91" s="2" t="s">
        <v>191</v>
      </c>
      <c r="C91" s="13">
        <f>E91/$C$80</f>
        <v>-161.68458781362003</v>
      </c>
      <c r="D91" s="139">
        <f>E91/$E$101</f>
        <v>-0.10604272859350639</v>
      </c>
      <c r="E91" s="195">
        <f>+F76</f>
        <v>-13532.999999999996</v>
      </c>
      <c r="J91" s="32"/>
    </row>
    <row r="92" spans="2:10" ht="15">
      <c r="B92" s="2"/>
      <c r="C92" s="13"/>
      <c r="D92" s="65" t="s">
        <v>318</v>
      </c>
      <c r="E92" s="195"/>
      <c r="J92" s="32"/>
    </row>
    <row r="93" spans="2:10" ht="15">
      <c r="B93" s="3" t="s">
        <v>282</v>
      </c>
      <c r="C93" s="18">
        <f t="shared" si="2"/>
        <v>716.4516129032257</v>
      </c>
      <c r="D93" s="139">
        <f aca="true" t="shared" si="3" ref="D93:D99">E93/$E$101</f>
        <v>0.4698931726569718</v>
      </c>
      <c r="E93" s="18">
        <f>E90+E91</f>
        <v>59967</v>
      </c>
      <c r="J93" s="32"/>
    </row>
    <row r="94" spans="2:5" ht="15">
      <c r="B94" s="77" t="s">
        <v>198</v>
      </c>
      <c r="C94" s="195">
        <f t="shared" si="2"/>
        <v>496.82072715178657</v>
      </c>
      <c r="D94" s="139">
        <f t="shared" si="3"/>
        <v>0.32584568660135066</v>
      </c>
      <c r="E94" s="196">
        <f>F46</f>
        <v>41583.89486260454</v>
      </c>
    </row>
    <row r="95" spans="2:5" ht="15">
      <c r="B95" s="77" t="s">
        <v>200</v>
      </c>
      <c r="C95" s="195">
        <f>E95/$C$80</f>
        <v>33.452807646356035</v>
      </c>
      <c r="D95" s="139">
        <f t="shared" si="3"/>
        <v>0.0219404152857325</v>
      </c>
      <c r="E95" s="196">
        <f>F47+F48+F49</f>
        <v>2800</v>
      </c>
    </row>
    <row r="96" spans="2:5" ht="15">
      <c r="B96" s="2" t="s">
        <v>279</v>
      </c>
      <c r="C96" s="195">
        <f t="shared" si="2"/>
        <v>0</v>
      </c>
      <c r="D96" s="139">
        <f t="shared" si="3"/>
        <v>0</v>
      </c>
      <c r="E96" s="196">
        <f>SUM(F52:F54)</f>
        <v>0</v>
      </c>
    </row>
    <row r="97" spans="2:11" ht="15">
      <c r="B97" s="2" t="s">
        <v>341</v>
      </c>
      <c r="C97" s="117">
        <f t="shared" si="2"/>
        <v>145.77419354838707</v>
      </c>
      <c r="D97" s="348">
        <f t="shared" si="3"/>
        <v>0.09560771036635998</v>
      </c>
      <c r="E97" s="197">
        <f>+F50+F51</f>
        <v>12201.3</v>
      </c>
      <c r="F97" s="18">
        <f>IF(E4=1,'3.Conventional AI BreedingCost'!L62,0)</f>
        <v>1080</v>
      </c>
      <c r="G97" s="347">
        <f>F97/E101</f>
        <v>0.008462731610211108</v>
      </c>
      <c r="J97" s="32"/>
      <c r="K97" s="315"/>
    </row>
    <row r="98" spans="2:5" ht="15">
      <c r="B98" s="77" t="s">
        <v>189</v>
      </c>
      <c r="C98" s="13">
        <f t="shared" si="2"/>
        <v>67.69621865807011</v>
      </c>
      <c r="D98" s="139">
        <f t="shared" si="3"/>
        <v>0.044399357038529506</v>
      </c>
      <c r="E98" s="196">
        <f>F64</f>
        <v>5666.173501680469</v>
      </c>
    </row>
    <row r="99" spans="2:5" ht="15">
      <c r="B99" s="2" t="s">
        <v>287</v>
      </c>
      <c r="C99" s="13">
        <f t="shared" si="2"/>
        <v>64.51612903225806</v>
      </c>
      <c r="D99" s="139">
        <f t="shared" si="3"/>
        <v>0.04231365805105554</v>
      </c>
      <c r="E99" s="196">
        <f>F59</f>
        <v>5400</v>
      </c>
    </row>
    <row r="101" spans="2:6" ht="15">
      <c r="B101" s="231" t="s">
        <v>199</v>
      </c>
      <c r="C101" s="243">
        <f t="shared" si="2"/>
        <v>1524.7116889400836</v>
      </c>
      <c r="D101" s="253"/>
      <c r="E101" s="242">
        <f>SUM(E93:E99)</f>
        <v>127618.36836428501</v>
      </c>
      <c r="F101" s="29"/>
    </row>
    <row r="102" spans="2:5" ht="15">
      <c r="B102" s="77"/>
      <c r="C102" s="195"/>
      <c r="D102" s="139"/>
      <c r="E102" s="196"/>
    </row>
    <row r="103" spans="2:6" ht="15">
      <c r="B103" s="1" t="s">
        <v>283</v>
      </c>
      <c r="D103" s="77"/>
      <c r="E103" s="77"/>
      <c r="F103" s="77"/>
    </row>
    <row r="116" ht="15" customHeight="1"/>
  </sheetData>
  <sheetProtection sheet="1"/>
  <mergeCells count="2">
    <mergeCell ref="B1:G1"/>
    <mergeCell ref="C2:G2"/>
  </mergeCells>
  <printOptions/>
  <pageMargins left="1" right="0.5" top="1" bottom="1" header="0.5" footer="0.5"/>
  <pageSetup horizontalDpi="1200" verticalDpi="1200" orientation="portrait" scale="59"/>
  <headerFooter alignWithMargins="0">
    <oddFooter>&amp;L&amp;F
&amp;R&amp;A</oddFooter>
  </headerFooter>
  <rowBreaks count="1" manualBreakCount="1">
    <brk id="71" min="1" max="6" man="1"/>
  </rowBreaks>
  <ignoredErrors>
    <ignoredError sqref="F5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9"/>
  <sheetViews>
    <sheetView workbookViewId="0" topLeftCell="A1">
      <selection activeCell="A21" sqref="A21"/>
    </sheetView>
  </sheetViews>
  <sheetFormatPr defaultColWidth="8.8515625" defaultRowHeight="12.75"/>
  <cols>
    <col min="1" max="1" width="2.8515625" style="0" customWidth="1"/>
    <col min="2" max="2" width="36.421875" style="0" customWidth="1"/>
    <col min="3" max="4" width="8.8515625" style="0" customWidth="1"/>
    <col min="5" max="5" width="10.421875" style="0" customWidth="1"/>
    <col min="6" max="6" width="11.140625" style="0" customWidth="1"/>
    <col min="7" max="7" width="10.421875" style="0" customWidth="1"/>
  </cols>
  <sheetData>
    <row r="1" spans="2:9" ht="15.75">
      <c r="B1" s="355" t="s">
        <v>59</v>
      </c>
      <c r="C1" s="355"/>
      <c r="D1" s="355"/>
      <c r="E1" s="355"/>
      <c r="F1" s="355"/>
      <c r="G1" s="355"/>
      <c r="H1" s="50"/>
      <c r="I1" s="50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8" ht="63">
      <c r="B3" s="3" t="s">
        <v>34</v>
      </c>
      <c r="C3" s="4"/>
      <c r="D3" s="4"/>
      <c r="E3" s="204" t="s">
        <v>35</v>
      </c>
      <c r="F3" s="204" t="s">
        <v>36</v>
      </c>
      <c r="G3" s="204" t="s">
        <v>37</v>
      </c>
      <c r="H3" s="2"/>
    </row>
    <row r="4" spans="2:8" ht="15">
      <c r="B4" s="2" t="s">
        <v>38</v>
      </c>
      <c r="C4" s="2"/>
      <c r="D4" s="2"/>
      <c r="E4" s="205">
        <v>550</v>
      </c>
      <c r="F4" s="206"/>
      <c r="G4" s="11">
        <f>E4/$F$16</f>
        <v>22</v>
      </c>
      <c r="H4" s="2"/>
    </row>
    <row r="5" spans="2:8" ht="15">
      <c r="B5" s="207" t="s">
        <v>39</v>
      </c>
      <c r="C5" s="2"/>
      <c r="D5" s="2"/>
      <c r="E5" s="208">
        <v>0</v>
      </c>
      <c r="F5" s="206"/>
      <c r="G5" s="11">
        <f>E5/$F$16</f>
        <v>0</v>
      </c>
      <c r="H5" s="2"/>
    </row>
    <row r="6" spans="2:8" ht="15">
      <c r="B6" s="2" t="s">
        <v>40</v>
      </c>
      <c r="C6" s="2"/>
      <c r="D6" s="2"/>
      <c r="E6" s="208">
        <v>30</v>
      </c>
      <c r="F6" s="209"/>
      <c r="G6" s="210">
        <f>E6/$F$16</f>
        <v>1.2</v>
      </c>
      <c r="H6" s="2"/>
    </row>
    <row r="7" spans="2:8" ht="15">
      <c r="B7" s="2" t="s">
        <v>41</v>
      </c>
      <c r="C7" s="2"/>
      <c r="D7" s="2"/>
      <c r="E7" s="211">
        <f>(E4+E5+E6)*0.5*C25*0.01</f>
        <v>14.5</v>
      </c>
      <c r="F7" s="209"/>
      <c r="G7" s="210">
        <f>E7/$F$16</f>
        <v>0.58</v>
      </c>
      <c r="H7" s="2"/>
    </row>
    <row r="8" spans="2:8" ht="15">
      <c r="B8" s="231" t="s">
        <v>42</v>
      </c>
      <c r="C8" s="284"/>
      <c r="D8" s="284"/>
      <c r="E8" s="285">
        <f>SUM(E4:E7)</f>
        <v>594.5</v>
      </c>
      <c r="F8" s="233"/>
      <c r="G8" s="286">
        <f>E8/$F$16</f>
        <v>23.78</v>
      </c>
      <c r="H8" s="4"/>
    </row>
    <row r="9" spans="2:8" ht="15">
      <c r="B9" s="12"/>
      <c r="C9" s="2"/>
      <c r="D9" s="2"/>
      <c r="E9" s="28"/>
      <c r="F9" s="4"/>
      <c r="G9" s="213"/>
      <c r="H9" s="2"/>
    </row>
    <row r="10" spans="2:8" ht="15">
      <c r="B10" s="3" t="s">
        <v>43</v>
      </c>
      <c r="C10" s="4"/>
      <c r="D10" s="4"/>
      <c r="E10" s="4"/>
      <c r="F10" s="4"/>
      <c r="G10" s="4"/>
      <c r="H10" s="4"/>
    </row>
    <row r="11" spans="2:8" ht="15">
      <c r="B11" s="4" t="s">
        <v>44</v>
      </c>
      <c r="C11" s="4"/>
      <c r="D11" s="4"/>
      <c r="E11" s="214">
        <f>(G20-G23)/G21</f>
        <v>660</v>
      </c>
      <c r="F11" s="206"/>
      <c r="G11" s="11">
        <f>E11/$F$16</f>
        <v>26.4</v>
      </c>
      <c r="H11" s="2"/>
    </row>
    <row r="12" spans="2:8" ht="15">
      <c r="B12" s="2" t="s">
        <v>45</v>
      </c>
      <c r="C12" s="2"/>
      <c r="D12" s="2"/>
      <c r="E12" s="13">
        <f>E28*C25*0.01</f>
        <v>134</v>
      </c>
      <c r="F12" s="11"/>
      <c r="G12" s="11">
        <f>E12/$F$16</f>
        <v>5.36</v>
      </c>
      <c r="H12" s="2"/>
    </row>
    <row r="13" spans="2:8" ht="15">
      <c r="B13" s="2" t="s">
        <v>187</v>
      </c>
      <c r="C13" s="215">
        <v>2</v>
      </c>
      <c r="D13" s="2" t="s">
        <v>6</v>
      </c>
      <c r="E13" s="27">
        <f>G20*C13*0.01</f>
        <v>80</v>
      </c>
      <c r="F13" s="206"/>
      <c r="G13" s="11">
        <f>E13/$F$16</f>
        <v>3.2</v>
      </c>
      <c r="H13" s="2"/>
    </row>
    <row r="14" spans="2:8" ht="15">
      <c r="B14" s="3" t="s">
        <v>46</v>
      </c>
      <c r="C14" s="4"/>
      <c r="D14" s="4"/>
      <c r="E14" s="212">
        <f>SUM(E11:E13)</f>
        <v>874</v>
      </c>
      <c r="F14" s="206"/>
      <c r="G14" s="11"/>
      <c r="H14" s="2"/>
    </row>
    <row r="15" spans="2:8" ht="15">
      <c r="B15" s="3"/>
      <c r="C15" s="4"/>
      <c r="D15" s="4"/>
      <c r="E15" s="258"/>
      <c r="F15" s="259"/>
      <c r="G15" s="260"/>
      <c r="H15" s="2"/>
    </row>
    <row r="16" spans="1:9" ht="15">
      <c r="A16" s="1"/>
      <c r="B16" s="257" t="s">
        <v>229</v>
      </c>
      <c r="C16" s="257"/>
      <c r="D16" s="257"/>
      <c r="E16" s="228">
        <f>E8+E14</f>
        <v>1468.5</v>
      </c>
      <c r="F16" s="261">
        <f>F18</f>
        <v>25</v>
      </c>
      <c r="G16" s="262">
        <f>E16/F16</f>
        <v>58.74</v>
      </c>
      <c r="H16" s="4"/>
      <c r="I16" s="56" t="s">
        <v>228</v>
      </c>
    </row>
    <row r="17" spans="5:10" ht="15">
      <c r="E17" s="106"/>
      <c r="F17" s="106"/>
      <c r="G17" s="106"/>
      <c r="H17" s="4"/>
      <c r="J17" s="55"/>
    </row>
    <row r="18" spans="2:10" ht="15">
      <c r="B18" s="233" t="s">
        <v>230</v>
      </c>
      <c r="C18" s="233"/>
      <c r="D18" s="233"/>
      <c r="E18" s="242">
        <f>E16-E12-E7</f>
        <v>1320</v>
      </c>
      <c r="F18" s="287">
        <f>'3.Conventional AI BreedingCost'!D59</f>
        <v>25</v>
      </c>
      <c r="G18" s="288">
        <f>E18/F18</f>
        <v>52.8</v>
      </c>
      <c r="H18" s="4"/>
      <c r="I18" s="56" t="s">
        <v>304</v>
      </c>
      <c r="J18" s="55"/>
    </row>
    <row r="19" spans="2:8" ht="15">
      <c r="B19" s="4"/>
      <c r="C19" s="4"/>
      <c r="D19" s="4"/>
      <c r="E19" s="4"/>
      <c r="F19" s="4"/>
      <c r="G19" s="4"/>
      <c r="H19" s="4"/>
    </row>
    <row r="20" spans="2:10" ht="15">
      <c r="B20" s="12" t="s">
        <v>47</v>
      </c>
      <c r="C20" s="2"/>
      <c r="D20" s="2"/>
      <c r="E20" s="2"/>
      <c r="F20" s="2"/>
      <c r="G20" s="216">
        <v>4000</v>
      </c>
      <c r="H20" s="2"/>
      <c r="J20" s="55"/>
    </row>
    <row r="21" spans="2:10" ht="15">
      <c r="B21" s="2" t="s">
        <v>48</v>
      </c>
      <c r="C21" s="2"/>
      <c r="D21" s="2"/>
      <c r="E21" s="2"/>
      <c r="F21" s="2"/>
      <c r="G21" s="217">
        <v>4</v>
      </c>
      <c r="H21" s="2"/>
      <c r="I21" s="32">
        <f>E12+E7</f>
        <v>148.5</v>
      </c>
      <c r="J21" s="330" t="s">
        <v>295</v>
      </c>
    </row>
    <row r="22" spans="2:10" ht="15">
      <c r="B22" s="2"/>
      <c r="C22" s="2"/>
      <c r="D22" s="2"/>
      <c r="E22" s="60" t="s">
        <v>49</v>
      </c>
      <c r="F22" s="60" t="s">
        <v>50</v>
      </c>
      <c r="G22" s="60" t="s">
        <v>51</v>
      </c>
      <c r="H22" s="2"/>
      <c r="I22" s="59">
        <f>I21/F18</f>
        <v>5.94</v>
      </c>
      <c r="J22" s="330" t="s">
        <v>296</v>
      </c>
    </row>
    <row r="23" spans="2:10" ht="15">
      <c r="B23" s="2" t="s">
        <v>52</v>
      </c>
      <c r="C23" s="2"/>
      <c r="D23" s="2"/>
      <c r="E23" s="218">
        <v>1700</v>
      </c>
      <c r="F23" s="219">
        <v>80</v>
      </c>
      <c r="G23" s="13">
        <f>E23*F23*0.01</f>
        <v>1360</v>
      </c>
      <c r="H23" s="2"/>
      <c r="J23" s="29"/>
    </row>
    <row r="24" spans="2:10" ht="15">
      <c r="B24" s="2"/>
      <c r="C24" s="2"/>
      <c r="D24" s="2"/>
      <c r="E24" s="2"/>
      <c r="F24" s="2"/>
      <c r="G24" s="2"/>
      <c r="H24" s="2"/>
      <c r="J24" s="52"/>
    </row>
    <row r="25" spans="2:11" ht="15">
      <c r="B25" s="2" t="s">
        <v>53</v>
      </c>
      <c r="C25" s="220">
        <f>'1.WeanedCalf to Sell Bred Heif '!C63</f>
        <v>5</v>
      </c>
      <c r="D25" s="2" t="s">
        <v>6</v>
      </c>
      <c r="G25" s="2"/>
      <c r="H25" s="2"/>
      <c r="I25" s="55"/>
      <c r="J25" s="55"/>
      <c r="K25" s="56"/>
    </row>
    <row r="26" spans="2:11" ht="15">
      <c r="B26" s="2"/>
      <c r="C26" s="2"/>
      <c r="D26" s="2"/>
      <c r="E26" s="221"/>
      <c r="F26" s="2"/>
      <c r="G26" s="2"/>
      <c r="H26" s="2"/>
      <c r="J26" s="53"/>
      <c r="K26" s="56"/>
    </row>
    <row r="27" spans="2:11" ht="15">
      <c r="B27" s="3" t="s">
        <v>226</v>
      </c>
      <c r="C27" s="4"/>
      <c r="D27" s="4"/>
      <c r="E27" s="4"/>
      <c r="F27" s="4"/>
      <c r="G27" s="4"/>
      <c r="H27" s="4"/>
      <c r="J27" s="326"/>
      <c r="K27" s="56"/>
    </row>
    <row r="28" spans="2:10" ht="15">
      <c r="B28" s="4" t="s">
        <v>54</v>
      </c>
      <c r="C28" s="4"/>
      <c r="D28" s="4"/>
      <c r="E28" s="44">
        <f>(G20+G23)/2</f>
        <v>2680</v>
      </c>
      <c r="F28" s="4"/>
      <c r="G28" s="4"/>
      <c r="H28" s="4"/>
      <c r="J28" s="55"/>
    </row>
    <row r="29" ht="15">
      <c r="B29" s="2" t="s">
        <v>288</v>
      </c>
    </row>
  </sheetData>
  <sheetProtection sheet="1"/>
  <mergeCells count="1">
    <mergeCell ref="B1:G1"/>
  </mergeCells>
  <printOptions/>
  <pageMargins left="1" right="0.5" top="1" bottom="1" header="0.5" footer="0.5"/>
  <pageSetup fitToHeight="1" fitToWidth="1" horizontalDpi="600" verticalDpi="600" orientation="portrait"/>
  <headerFooter alignWithMargins="0">
    <oddFooter>&amp;L&amp;F&amp;R&amp;A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P68"/>
  <sheetViews>
    <sheetView workbookViewId="0" topLeftCell="A1">
      <selection activeCell="E33" sqref="E33"/>
    </sheetView>
  </sheetViews>
  <sheetFormatPr defaultColWidth="8.8515625" defaultRowHeight="12.75"/>
  <cols>
    <col min="1" max="1" width="4.00390625" style="0" customWidth="1"/>
    <col min="2" max="2" width="43.8515625" style="0" customWidth="1"/>
    <col min="3" max="3" width="8.8515625" style="0" customWidth="1"/>
    <col min="4" max="4" width="14.28125" style="0" customWidth="1"/>
    <col min="5" max="5" width="12.8515625" style="0" customWidth="1"/>
    <col min="6" max="6" width="11.421875" style="0" customWidth="1"/>
    <col min="7" max="7" width="11.140625" style="0" customWidth="1"/>
    <col min="8" max="8" width="11.8515625" style="0" customWidth="1"/>
    <col min="9" max="9" width="4.421875" style="0" customWidth="1"/>
    <col min="10" max="10" width="11.140625" style="0" customWidth="1"/>
    <col min="11" max="11" width="8.8515625" style="0" customWidth="1"/>
    <col min="12" max="12" width="14.140625" style="0" customWidth="1"/>
    <col min="13" max="13" width="12.8515625" style="0" customWidth="1"/>
  </cols>
  <sheetData>
    <row r="1" spans="2:16" ht="15">
      <c r="B1" s="363" t="s">
        <v>306</v>
      </c>
      <c r="C1" s="364"/>
      <c r="D1" s="364"/>
      <c r="E1" s="364"/>
      <c r="F1" s="364"/>
      <c r="G1" s="364"/>
      <c r="H1" s="364"/>
      <c r="I1" s="364"/>
      <c r="J1" s="356"/>
      <c r="O1" s="106"/>
      <c r="P1" s="106"/>
    </row>
    <row r="2" spans="2:16" ht="15">
      <c r="B2" s="84"/>
      <c r="C2" s="84"/>
      <c r="D2" s="84"/>
      <c r="E2" s="84"/>
      <c r="F2" s="84"/>
      <c r="G2" s="84"/>
      <c r="H2" s="77"/>
      <c r="I2" s="77"/>
      <c r="O2" s="106"/>
      <c r="P2" s="106"/>
    </row>
    <row r="3" spans="2:16" ht="15">
      <c r="B3" s="3" t="s">
        <v>144</v>
      </c>
      <c r="C3" s="365" t="s">
        <v>311</v>
      </c>
      <c r="D3" s="366"/>
      <c r="E3" s="366"/>
      <c r="F3" s="366"/>
      <c r="G3" s="366"/>
      <c r="H3" s="366"/>
      <c r="I3" s="77"/>
      <c r="O3" s="106"/>
      <c r="P3" s="106"/>
    </row>
    <row r="4" spans="2:16" ht="15">
      <c r="B4" s="3" t="s">
        <v>159</v>
      </c>
      <c r="C4" s="166" t="s">
        <v>21</v>
      </c>
      <c r="D4" s="191">
        <f>'1.WeanedCalf to Sell Bred Heif '!E14</f>
        <v>90</v>
      </c>
      <c r="E4" s="132"/>
      <c r="F4" s="132"/>
      <c r="G4" s="132"/>
      <c r="H4" s="132"/>
      <c r="I4" s="77"/>
      <c r="L4" s="334">
        <f>'1.WeanedCalf to Sell Bred Heif '!F70</f>
        <v>0.04347489917055691</v>
      </c>
      <c r="M4" s="2" t="s">
        <v>188</v>
      </c>
      <c r="O4" s="106"/>
      <c r="P4" s="106"/>
    </row>
    <row r="5" spans="2:16" ht="15">
      <c r="B5" s="3" t="s">
        <v>201</v>
      </c>
      <c r="D5" s="201">
        <v>93</v>
      </c>
      <c r="E5" s="132"/>
      <c r="F5" s="132"/>
      <c r="G5" s="132"/>
      <c r="H5" s="132"/>
      <c r="I5" s="77"/>
      <c r="L5" s="202">
        <f>'1.WeanedCalf to Sell Bred Heif '!D84</f>
        <v>-13.421366359438569</v>
      </c>
      <c r="M5" s="2" t="s">
        <v>320</v>
      </c>
      <c r="O5" s="106"/>
      <c r="P5" s="106"/>
    </row>
    <row r="6" spans="2:16" ht="15">
      <c r="B6" s="2" t="s">
        <v>267</v>
      </c>
      <c r="D6" s="346">
        <v>60</v>
      </c>
      <c r="E6" s="301" t="s">
        <v>277</v>
      </c>
      <c r="F6" s="132"/>
      <c r="G6" s="132"/>
      <c r="H6" s="132"/>
      <c r="I6" s="77"/>
      <c r="O6" s="106"/>
      <c r="P6" s="106"/>
    </row>
    <row r="7" spans="2:16" ht="15">
      <c r="B7" s="134" t="s">
        <v>145</v>
      </c>
      <c r="D7" s="104" t="s">
        <v>146</v>
      </c>
      <c r="E7" s="104" t="s">
        <v>147</v>
      </c>
      <c r="F7" s="104" t="s">
        <v>148</v>
      </c>
      <c r="K7" s="32"/>
      <c r="L7" s="130">
        <f>(D8*D5*0.01-(D13+E13))</f>
        <v>29.700000000000003</v>
      </c>
      <c r="M7" s="77" t="s">
        <v>202</v>
      </c>
      <c r="O7" s="106"/>
      <c r="P7" s="106"/>
    </row>
    <row r="8" spans="2:16" ht="15">
      <c r="B8" s="2" t="s">
        <v>268</v>
      </c>
      <c r="D8" s="191">
        <f>'1.WeanedCalf to Sell Bred Heif '!E14</f>
        <v>90</v>
      </c>
      <c r="E8" s="130">
        <f>IF(E9=0,0,D8-D15)</f>
        <v>0</v>
      </c>
      <c r="F8" s="130">
        <f>D8-D15-E15</f>
        <v>36</v>
      </c>
      <c r="H8" s="77"/>
      <c r="I8" s="77"/>
      <c r="L8" s="309" t="s">
        <v>261</v>
      </c>
      <c r="M8" s="202"/>
      <c r="O8" s="106"/>
      <c r="P8" s="106"/>
    </row>
    <row r="9" spans="2:16" ht="15">
      <c r="B9" s="2" t="s">
        <v>307</v>
      </c>
      <c r="D9" s="191">
        <f>D6</f>
        <v>60</v>
      </c>
      <c r="E9" s="133">
        <v>0</v>
      </c>
      <c r="F9" s="222">
        <f>IF(L7&lt;0,"Error",(L7/(D8-D15-E15))*100)</f>
        <v>82.5</v>
      </c>
      <c r="L9" s="310" t="s">
        <v>263</v>
      </c>
      <c r="O9" s="106"/>
      <c r="P9" s="106"/>
    </row>
    <row r="10" spans="2:16" ht="15">
      <c r="B10" s="77"/>
      <c r="C10" s="77"/>
      <c r="D10" s="135" t="s">
        <v>149</v>
      </c>
      <c r="E10" s="135" t="s">
        <v>150</v>
      </c>
      <c r="F10" s="135" t="s">
        <v>151</v>
      </c>
      <c r="H10" s="135" t="s">
        <v>152</v>
      </c>
      <c r="I10" s="77"/>
      <c r="J10" s="189" t="s">
        <v>153</v>
      </c>
      <c r="L10" s="310" t="s">
        <v>262</v>
      </c>
      <c r="O10" s="106"/>
      <c r="P10" s="106"/>
    </row>
    <row r="11" spans="2:16" ht="15">
      <c r="B11" s="77" t="s">
        <v>154</v>
      </c>
      <c r="C11" s="77" t="s">
        <v>155</v>
      </c>
      <c r="D11" s="130">
        <f>D8*D9*0.01*0.5</f>
        <v>27</v>
      </c>
      <c r="E11" s="130">
        <f>E8*E9*0.01*0.5</f>
        <v>0</v>
      </c>
      <c r="F11" s="130">
        <f>(F8)*0.5*0.01*$F$9</f>
        <v>14.85</v>
      </c>
      <c r="H11" s="130">
        <f>D11+E11+F11</f>
        <v>41.85</v>
      </c>
      <c r="J11" s="190">
        <f>IF(H13=0,0,H11/$H$13)</f>
        <v>0.5</v>
      </c>
      <c r="O11" s="106"/>
      <c r="P11" s="106"/>
    </row>
    <row r="12" spans="2:16" ht="15">
      <c r="B12" s="77"/>
      <c r="C12" s="77" t="s">
        <v>101</v>
      </c>
      <c r="D12" s="130">
        <f>D8*D9*0.01*0.5</f>
        <v>27</v>
      </c>
      <c r="E12" s="130">
        <f>E8*E9*0.01*0.5</f>
        <v>0</v>
      </c>
      <c r="F12" s="130">
        <f>(F8*0.5*0.01*$F$9)</f>
        <v>14.85</v>
      </c>
      <c r="H12" s="130">
        <f>D12+E12+F12</f>
        <v>41.85</v>
      </c>
      <c r="J12" s="190">
        <f>IF(H13=0,0,H12/$H$13)</f>
        <v>0.5</v>
      </c>
      <c r="L12" s="175"/>
      <c r="O12" s="106"/>
      <c r="P12" s="106"/>
    </row>
    <row r="13" spans="2:16" ht="15">
      <c r="B13" s="77"/>
      <c r="C13" s="77" t="s">
        <v>152</v>
      </c>
      <c r="D13" s="130">
        <f>D11+D12</f>
        <v>54</v>
      </c>
      <c r="E13" s="138">
        <f>E11+E12</f>
        <v>0</v>
      </c>
      <c r="F13" s="130">
        <f>F11+F12</f>
        <v>29.7</v>
      </c>
      <c r="G13" s="38"/>
      <c r="H13" s="148">
        <f>H11+H12</f>
        <v>83.7</v>
      </c>
      <c r="J13" s="139"/>
      <c r="L13" s="7"/>
      <c r="M13" s="56"/>
      <c r="O13" s="106"/>
      <c r="P13" s="106"/>
    </row>
    <row r="14" spans="2:16" ht="15">
      <c r="B14" s="140" t="s">
        <v>271</v>
      </c>
      <c r="C14" s="140"/>
      <c r="D14" s="141"/>
      <c r="E14" s="142"/>
      <c r="F14" s="141"/>
      <c r="G14" s="142"/>
      <c r="H14" s="143" t="s">
        <v>156</v>
      </c>
      <c r="I14" s="144"/>
      <c r="J14" s="145">
        <f>J15/D8</f>
        <v>0.93</v>
      </c>
      <c r="K14" s="146"/>
      <c r="L14" s="106"/>
      <c r="M14" s="106"/>
      <c r="N14" s="106"/>
      <c r="O14" s="106"/>
      <c r="P14" s="106"/>
    </row>
    <row r="15" spans="2:16" ht="15">
      <c r="B15" s="147" t="s">
        <v>157</v>
      </c>
      <c r="C15" s="140"/>
      <c r="D15" s="148">
        <f>D11+D12</f>
        <v>54</v>
      </c>
      <c r="E15" s="148">
        <f>E11+E12</f>
        <v>0</v>
      </c>
      <c r="F15" s="148">
        <f>F11+F12</f>
        <v>29.7</v>
      </c>
      <c r="G15" s="149"/>
      <c r="H15" s="149">
        <f>SUM(D15:F15)</f>
        <v>83.7</v>
      </c>
      <c r="I15" s="140"/>
      <c r="J15" s="150">
        <f>SUM(D13:F13)</f>
        <v>83.7</v>
      </c>
      <c r="K15" s="151"/>
      <c r="L15" s="152"/>
      <c r="M15" s="152"/>
      <c r="N15" s="153"/>
      <c r="O15" s="106"/>
      <c r="P15" s="106"/>
    </row>
    <row r="16" spans="2:16" ht="15">
      <c r="B16" s="157" t="s">
        <v>158</v>
      </c>
      <c r="C16" s="157"/>
      <c r="D16" s="157"/>
      <c r="E16" s="157"/>
      <c r="F16" s="157"/>
      <c r="G16" s="157"/>
      <c r="H16" s="157"/>
      <c r="I16" s="157"/>
      <c r="J16" s="157"/>
      <c r="K16" s="158"/>
      <c r="L16" s="106"/>
      <c r="M16" s="106"/>
      <c r="N16" s="106"/>
      <c r="O16" s="106"/>
      <c r="P16" s="106"/>
    </row>
    <row r="17" spans="2:16" ht="15">
      <c r="B17" s="3" t="s">
        <v>159</v>
      </c>
      <c r="C17" s="159">
        <f>D8</f>
        <v>90</v>
      </c>
      <c r="D17" s="50" t="s">
        <v>160</v>
      </c>
      <c r="E17" s="159"/>
      <c r="F17" s="50" t="s">
        <v>161</v>
      </c>
      <c r="G17" s="50" t="s">
        <v>6</v>
      </c>
      <c r="H17" s="60"/>
      <c r="I17" s="154"/>
      <c r="J17" s="160"/>
      <c r="K17" s="155"/>
      <c r="L17" s="106"/>
      <c r="M17" s="106"/>
      <c r="N17" s="106"/>
      <c r="O17" s="106"/>
      <c r="P17" s="106"/>
    </row>
    <row r="18" spans="2:16" ht="16.5">
      <c r="B18" s="93" t="s">
        <v>162</v>
      </c>
      <c r="C18" s="161" t="s">
        <v>163</v>
      </c>
      <c r="D18" s="50" t="s">
        <v>163</v>
      </c>
      <c r="E18" s="162" t="s">
        <v>164</v>
      </c>
      <c r="F18" s="50" t="s">
        <v>165</v>
      </c>
      <c r="G18" s="50" t="s">
        <v>166</v>
      </c>
      <c r="H18" s="50" t="s">
        <v>152</v>
      </c>
      <c r="I18" s="154"/>
      <c r="J18" s="50"/>
      <c r="K18" s="155"/>
      <c r="M18" s="106"/>
      <c r="N18" s="106"/>
      <c r="O18" s="106"/>
      <c r="P18" s="106"/>
    </row>
    <row r="19" spans="2:16" ht="15">
      <c r="B19" s="3"/>
      <c r="C19" s="161"/>
      <c r="D19" s="50"/>
      <c r="E19" s="162"/>
      <c r="F19" s="50"/>
      <c r="G19" s="2"/>
      <c r="H19" s="50"/>
      <c r="I19" s="154"/>
      <c r="J19" s="50"/>
      <c r="K19" s="155"/>
      <c r="L19" s="198"/>
      <c r="M19" s="106"/>
      <c r="N19" s="106"/>
      <c r="O19" s="106"/>
      <c r="P19" s="106"/>
    </row>
    <row r="20" spans="2:16" ht="15">
      <c r="B20" s="302"/>
      <c r="C20" s="10"/>
      <c r="D20" s="57"/>
      <c r="E20" s="10"/>
      <c r="F20" s="163"/>
      <c r="G20" s="65"/>
      <c r="H20" s="164"/>
      <c r="I20" s="154"/>
      <c r="J20" s="50"/>
      <c r="K20" s="155"/>
      <c r="L20" s="198"/>
      <c r="M20" s="106"/>
      <c r="N20" s="106"/>
      <c r="O20" s="106"/>
      <c r="P20" s="106"/>
    </row>
    <row r="21" spans="2:16" ht="15">
      <c r="B21" s="300" t="s">
        <v>255</v>
      </c>
      <c r="C21" s="10" t="s">
        <v>21</v>
      </c>
      <c r="D21" s="57">
        <f>$C$17</f>
        <v>90</v>
      </c>
      <c r="E21" s="10">
        <v>2.45</v>
      </c>
      <c r="F21" s="163">
        <f>IF($C$17=0,0,H21/$C$17)</f>
        <v>2.45</v>
      </c>
      <c r="G21" s="65">
        <f>IF($H$34=0,0,H21/$H$34)</f>
        <v>0.02140672782874618</v>
      </c>
      <c r="H21" s="164">
        <f>IF($C$17=0,0,D21*E21)</f>
        <v>220.50000000000003</v>
      </c>
      <c r="I21" s="154"/>
      <c r="J21" s="50"/>
      <c r="K21" s="155"/>
      <c r="L21" s="198"/>
      <c r="M21" s="106"/>
      <c r="N21" s="106"/>
      <c r="O21" s="106"/>
      <c r="P21" s="106"/>
    </row>
    <row r="22" spans="2:16" ht="15">
      <c r="B22" s="10" t="s">
        <v>254</v>
      </c>
      <c r="C22" s="10" t="s">
        <v>21</v>
      </c>
      <c r="D22" s="57">
        <f>$C$17</f>
        <v>90</v>
      </c>
      <c r="E22" s="10">
        <v>2</v>
      </c>
      <c r="F22" s="163">
        <f aca="true" t="shared" si="0" ref="F22:F33">IF($C$17=0,0,H22/$C$17)</f>
        <v>2</v>
      </c>
      <c r="G22" s="65">
        <f aca="true" t="shared" si="1" ref="G22:G33">IF($H$34=0,0,H22/$H$34)</f>
        <v>0.01747487986020096</v>
      </c>
      <c r="H22" s="164">
        <f aca="true" t="shared" si="2" ref="H22:H32">IF($C$17=0,0,D22*E22)</f>
        <v>180</v>
      </c>
      <c r="I22" s="154"/>
      <c r="J22" s="50"/>
      <c r="K22" s="155"/>
      <c r="L22" s="198"/>
      <c r="M22" s="106"/>
      <c r="N22" s="106"/>
      <c r="O22" s="106"/>
      <c r="P22" s="106"/>
    </row>
    <row r="23" spans="2:16" ht="15">
      <c r="B23" s="10" t="s">
        <v>250</v>
      </c>
      <c r="C23" s="10" t="s">
        <v>21</v>
      </c>
      <c r="D23" s="57">
        <f>$C$17</f>
        <v>90</v>
      </c>
      <c r="E23" s="10">
        <v>1.5</v>
      </c>
      <c r="F23" s="163">
        <f t="shared" si="0"/>
        <v>1.5</v>
      </c>
      <c r="G23" s="65">
        <f t="shared" si="1"/>
        <v>0.01310615989515072</v>
      </c>
      <c r="H23" s="164">
        <f t="shared" si="2"/>
        <v>135</v>
      </c>
      <c r="I23" s="154"/>
      <c r="J23" s="50"/>
      <c r="K23" s="155"/>
      <c r="L23" s="198"/>
      <c r="M23" s="106"/>
      <c r="N23" s="106"/>
      <c r="O23" s="106"/>
      <c r="P23" s="106"/>
    </row>
    <row r="24" spans="2:16" ht="15">
      <c r="B24" s="10" t="s">
        <v>252</v>
      </c>
      <c r="C24" s="10" t="s">
        <v>21</v>
      </c>
      <c r="D24" s="317">
        <f>0.5*D21</f>
        <v>45</v>
      </c>
      <c r="E24" s="10">
        <v>2</v>
      </c>
      <c r="F24" s="163">
        <f>IF($C$17=0,0,H24/$C$17)</f>
        <v>1</v>
      </c>
      <c r="G24" s="65">
        <f>IF($H$34=0,0,H24/$H$34)</f>
        <v>0.00873743993010048</v>
      </c>
      <c r="H24" s="164">
        <f>IF($C$17=0,0,D24*E24)</f>
        <v>90</v>
      </c>
      <c r="I24" s="154"/>
      <c r="J24" s="50"/>
      <c r="K24" s="155"/>
      <c r="L24" s="198"/>
      <c r="M24" s="106"/>
      <c r="N24" s="106"/>
      <c r="O24" s="106"/>
      <c r="P24" s="106"/>
    </row>
    <row r="25" spans="2:16" ht="15">
      <c r="B25" s="10" t="s">
        <v>278</v>
      </c>
      <c r="C25" s="10" t="s">
        <v>21</v>
      </c>
      <c r="D25" s="57">
        <f>$C$17</f>
        <v>90</v>
      </c>
      <c r="E25" s="10">
        <v>1.5</v>
      </c>
      <c r="F25" s="163">
        <f>IF($C$17=0,0,H25/$C$17)</f>
        <v>1.5</v>
      </c>
      <c r="G25" s="65">
        <f>IF($H$34=0,0,H25/$H$34)</f>
        <v>0.01310615989515072</v>
      </c>
      <c r="H25" s="164">
        <f>IF($C$17=0,0,D25*E25)</f>
        <v>135</v>
      </c>
      <c r="I25" s="154"/>
      <c r="J25" s="165"/>
      <c r="K25" s="155"/>
      <c r="L25" s="198"/>
      <c r="M25" s="106"/>
      <c r="N25" s="106"/>
      <c r="O25" s="106"/>
      <c r="P25" s="106"/>
    </row>
    <row r="26" spans="2:16" ht="15">
      <c r="B26" s="10" t="s">
        <v>253</v>
      </c>
      <c r="C26" s="10" t="s">
        <v>21</v>
      </c>
      <c r="D26" s="57">
        <f>$C$17</f>
        <v>90</v>
      </c>
      <c r="E26" s="10">
        <v>1.5</v>
      </c>
      <c r="F26" s="163">
        <f t="shared" si="0"/>
        <v>1.5</v>
      </c>
      <c r="G26" s="65">
        <f t="shared" si="1"/>
        <v>0.01310615989515072</v>
      </c>
      <c r="H26" s="164">
        <f t="shared" si="2"/>
        <v>135</v>
      </c>
      <c r="I26" s="154"/>
      <c r="J26" s="165"/>
      <c r="K26" s="155"/>
      <c r="L26" s="198"/>
      <c r="M26" s="106"/>
      <c r="N26" s="106"/>
      <c r="O26" s="106"/>
      <c r="P26" s="106"/>
    </row>
    <row r="27" spans="2:16" ht="15">
      <c r="B27" s="10" t="s">
        <v>169</v>
      </c>
      <c r="C27" s="10" t="s">
        <v>21</v>
      </c>
      <c r="D27" s="16">
        <v>0</v>
      </c>
      <c r="E27" s="10">
        <v>0</v>
      </c>
      <c r="F27" s="163">
        <f t="shared" si="0"/>
        <v>0</v>
      </c>
      <c r="G27" s="65">
        <f t="shared" si="1"/>
        <v>0</v>
      </c>
      <c r="H27" s="164">
        <f t="shared" si="2"/>
        <v>0</v>
      </c>
      <c r="I27" s="154"/>
      <c r="J27" s="165"/>
      <c r="K27" s="155"/>
      <c r="L27" s="198"/>
      <c r="M27" s="106"/>
      <c r="N27" s="106"/>
      <c r="O27" s="106"/>
      <c r="P27" s="106"/>
    </row>
    <row r="28" spans="2:16" ht="15">
      <c r="B28" s="2" t="s">
        <v>251</v>
      </c>
      <c r="C28" s="10" t="s">
        <v>167</v>
      </c>
      <c r="D28" s="16">
        <v>450</v>
      </c>
      <c r="E28" s="10">
        <v>6</v>
      </c>
      <c r="F28" s="163">
        <f t="shared" si="0"/>
        <v>30</v>
      </c>
      <c r="G28" s="65">
        <f t="shared" si="1"/>
        <v>0.2621231979030144</v>
      </c>
      <c r="H28" s="164">
        <f t="shared" si="2"/>
        <v>2700</v>
      </c>
      <c r="I28" s="154"/>
      <c r="J28" s="165"/>
      <c r="K28" s="155"/>
      <c r="L28" s="154" t="s">
        <v>323</v>
      </c>
      <c r="M28" s="106"/>
      <c r="N28" s="106"/>
      <c r="O28" s="106"/>
      <c r="P28" s="106"/>
    </row>
    <row r="29" spans="2:16" ht="15">
      <c r="B29" s="166"/>
      <c r="C29" s="10"/>
      <c r="D29" s="16"/>
      <c r="E29" s="10"/>
      <c r="F29" s="163"/>
      <c r="G29" s="65"/>
      <c r="H29" s="164"/>
      <c r="I29" s="154"/>
      <c r="J29" s="165"/>
      <c r="K29" s="155"/>
      <c r="L29" s="198"/>
      <c r="M29" s="106"/>
      <c r="N29" s="106"/>
      <c r="O29" s="106"/>
      <c r="P29" s="106"/>
    </row>
    <row r="30" spans="2:16" ht="15">
      <c r="B30" s="21" t="s">
        <v>270</v>
      </c>
      <c r="C30" s="10" t="s">
        <v>29</v>
      </c>
      <c r="D30" s="16">
        <f>8.5*3</f>
        <v>25.5</v>
      </c>
      <c r="E30" s="10">
        <v>150</v>
      </c>
      <c r="F30" s="163">
        <f t="shared" si="0"/>
        <v>42.5</v>
      </c>
      <c r="G30" s="65">
        <f t="shared" si="1"/>
        <v>0.37134119702927043</v>
      </c>
      <c r="H30" s="164">
        <f t="shared" si="2"/>
        <v>3825</v>
      </c>
      <c r="I30" s="154"/>
      <c r="J30" s="165"/>
      <c r="K30" s="155"/>
      <c r="L30" s="198"/>
      <c r="M30" s="106"/>
      <c r="N30" s="106"/>
      <c r="O30" s="106"/>
      <c r="P30" s="106"/>
    </row>
    <row r="31" spans="2:16" ht="15">
      <c r="B31" s="10" t="s">
        <v>169</v>
      </c>
      <c r="C31" s="10" t="s">
        <v>21</v>
      </c>
      <c r="D31" s="16">
        <v>0</v>
      </c>
      <c r="E31" s="10">
        <v>0</v>
      </c>
      <c r="F31" s="163">
        <f t="shared" si="0"/>
        <v>0</v>
      </c>
      <c r="G31" s="65">
        <f t="shared" si="1"/>
        <v>0</v>
      </c>
      <c r="H31" s="164">
        <f t="shared" si="2"/>
        <v>0</v>
      </c>
      <c r="I31" s="154"/>
      <c r="J31" s="165"/>
      <c r="K31" s="155"/>
      <c r="L31" s="198"/>
      <c r="M31" s="106"/>
      <c r="N31" s="106"/>
      <c r="O31" s="106"/>
      <c r="P31" s="106"/>
    </row>
    <row r="32" spans="2:16" ht="15">
      <c r="B32" s="166" t="s">
        <v>168</v>
      </c>
      <c r="C32" s="10" t="s">
        <v>21</v>
      </c>
      <c r="D32" s="16">
        <v>450</v>
      </c>
      <c r="E32" s="10">
        <v>4</v>
      </c>
      <c r="F32" s="163">
        <f t="shared" si="0"/>
        <v>20</v>
      </c>
      <c r="G32" s="65">
        <f t="shared" si="1"/>
        <v>0.17474879860200962</v>
      </c>
      <c r="H32" s="164">
        <f t="shared" si="2"/>
        <v>1800</v>
      </c>
      <c r="I32" s="154"/>
      <c r="J32" s="165"/>
      <c r="K32" s="155"/>
      <c r="L32" s="134" t="s">
        <v>170</v>
      </c>
      <c r="M32" s="106"/>
      <c r="N32" s="106"/>
      <c r="O32" s="106"/>
      <c r="P32" s="106"/>
    </row>
    <row r="33" spans="2:16" ht="15">
      <c r="B33" s="140" t="s">
        <v>170</v>
      </c>
      <c r="C33" s="10" t="s">
        <v>171</v>
      </c>
      <c r="D33" s="57">
        <f>$C$17</f>
        <v>90</v>
      </c>
      <c r="E33" s="10">
        <v>12</v>
      </c>
      <c r="F33" s="163">
        <f t="shared" si="0"/>
        <v>12</v>
      </c>
      <c r="G33" s="65">
        <f t="shared" si="1"/>
        <v>0.10484927916120576</v>
      </c>
      <c r="H33" s="164">
        <f>IF($C$17=0,0,D33*E33)</f>
        <v>1080</v>
      </c>
      <c r="I33" s="154"/>
      <c r="J33" s="165"/>
      <c r="K33" s="167"/>
      <c r="L33" s="195">
        <f>H33</f>
        <v>1080</v>
      </c>
      <c r="O33" s="106"/>
      <c r="P33" s="106"/>
    </row>
    <row r="34" spans="2:16" ht="15">
      <c r="B34" s="168" t="s">
        <v>172</v>
      </c>
      <c r="C34" s="169">
        <f>C17</f>
        <v>90</v>
      </c>
      <c r="D34" s="170"/>
      <c r="E34" s="171"/>
      <c r="F34" s="171">
        <f>SUM(F20:F33)</f>
        <v>114.45</v>
      </c>
      <c r="G34" s="3"/>
      <c r="H34" s="172">
        <f>SUM(H20:H33)</f>
        <v>10300.5</v>
      </c>
      <c r="I34" s="154"/>
      <c r="J34" s="154"/>
      <c r="K34" s="155"/>
      <c r="L34" s="198"/>
      <c r="M34" s="106"/>
      <c r="N34" s="106"/>
      <c r="O34" s="106"/>
      <c r="P34" s="106"/>
    </row>
    <row r="35" spans="2:16" ht="15">
      <c r="B35" s="154"/>
      <c r="C35" s="154"/>
      <c r="D35" s="154"/>
      <c r="E35" s="50"/>
      <c r="F35" s="154"/>
      <c r="G35" s="154"/>
      <c r="H35" s="154"/>
      <c r="I35" s="154"/>
      <c r="J35" s="154"/>
      <c r="K35" s="155"/>
      <c r="L35" s="198"/>
      <c r="M35" s="106"/>
      <c r="N35" s="106"/>
      <c r="O35" s="106"/>
      <c r="P35" s="106"/>
    </row>
    <row r="36" spans="2:16" ht="16.5">
      <c r="B36" s="173" t="s">
        <v>173</v>
      </c>
      <c r="C36" s="140"/>
      <c r="D36" s="50" t="s">
        <v>160</v>
      </c>
      <c r="E36" s="159"/>
      <c r="F36" s="50" t="s">
        <v>161</v>
      </c>
      <c r="G36" s="2"/>
      <c r="H36" s="60"/>
      <c r="I36" s="154"/>
      <c r="J36" s="154"/>
      <c r="K36" s="155"/>
      <c r="L36" s="198"/>
      <c r="M36" s="106"/>
      <c r="N36" s="106"/>
      <c r="O36" s="106"/>
      <c r="P36" s="106"/>
    </row>
    <row r="37" spans="2:16" ht="15">
      <c r="B37" s="140" t="s">
        <v>159</v>
      </c>
      <c r="C37" s="174">
        <f>E8</f>
        <v>0</v>
      </c>
      <c r="D37" s="50" t="s">
        <v>163</v>
      </c>
      <c r="E37" s="162" t="s">
        <v>164</v>
      </c>
      <c r="F37" s="50" t="s">
        <v>165</v>
      </c>
      <c r="G37" s="50" t="s">
        <v>6</v>
      </c>
      <c r="H37" s="50" t="s">
        <v>152</v>
      </c>
      <c r="I37" s="154"/>
      <c r="J37" s="154"/>
      <c r="K37" s="155"/>
      <c r="L37" s="198"/>
      <c r="M37" s="106"/>
      <c r="N37" s="106"/>
      <c r="O37" s="106"/>
      <c r="P37" s="106"/>
    </row>
    <row r="38" spans="2:16" ht="15">
      <c r="B38" s="3" t="s">
        <v>162</v>
      </c>
      <c r="C38" s="161" t="s">
        <v>163</v>
      </c>
      <c r="D38" s="50"/>
      <c r="E38" s="162"/>
      <c r="F38" s="50" t="s">
        <v>174</v>
      </c>
      <c r="G38" s="50" t="s">
        <v>166</v>
      </c>
      <c r="H38" s="50"/>
      <c r="I38" s="154"/>
      <c r="J38" s="154"/>
      <c r="K38" s="155"/>
      <c r="L38" s="198"/>
      <c r="M38" s="106"/>
      <c r="N38" s="106"/>
      <c r="O38" s="106"/>
      <c r="P38" s="106"/>
    </row>
    <row r="39" spans="2:16" ht="15">
      <c r="B39" s="3"/>
      <c r="C39" s="161"/>
      <c r="D39" s="17"/>
      <c r="E39" s="10"/>
      <c r="F39" s="163"/>
      <c r="G39" s="65"/>
      <c r="H39" s="164"/>
      <c r="I39" s="154"/>
      <c r="J39" s="154"/>
      <c r="K39" s="155"/>
      <c r="L39" s="198"/>
      <c r="M39" s="106"/>
      <c r="N39" s="106"/>
      <c r="O39" s="106"/>
      <c r="P39" s="106"/>
    </row>
    <row r="40" spans="2:16" ht="15">
      <c r="B40" s="300"/>
      <c r="C40" s="10"/>
      <c r="D40" s="17"/>
      <c r="E40" s="10"/>
      <c r="F40" s="163"/>
      <c r="G40" s="65"/>
      <c r="H40" s="164"/>
      <c r="I40" s="154"/>
      <c r="J40" s="154"/>
      <c r="K40" s="155"/>
      <c r="L40" s="198"/>
      <c r="M40" s="106"/>
      <c r="N40" s="106"/>
      <c r="O40" s="106"/>
      <c r="P40" s="106"/>
    </row>
    <row r="41" spans="2:16" ht="15">
      <c r="B41" s="10" t="s">
        <v>169</v>
      </c>
      <c r="C41" s="10" t="s">
        <v>21</v>
      </c>
      <c r="D41" s="17">
        <v>0</v>
      </c>
      <c r="E41" s="10">
        <v>0</v>
      </c>
      <c r="F41" s="163">
        <f aca="true" t="shared" si="3" ref="F41:F51">IF($C$37=0,0,H41/$C$37)</f>
        <v>0</v>
      </c>
      <c r="G41" s="65">
        <f aca="true" t="shared" si="4" ref="G41:G51">IF($H$52=0,0,H41/$H$52)</f>
        <v>0</v>
      </c>
      <c r="H41" s="164">
        <f aca="true" t="shared" si="5" ref="H41:H48">IF($C$37=0,0,D41*E41)</f>
        <v>0</v>
      </c>
      <c r="I41" s="154"/>
      <c r="J41" s="154"/>
      <c r="K41" s="155"/>
      <c r="L41" s="198"/>
      <c r="M41" s="106"/>
      <c r="N41" s="106"/>
      <c r="O41" s="106"/>
      <c r="P41" s="106"/>
    </row>
    <row r="42" spans="2:16" ht="15">
      <c r="B42" s="10" t="s">
        <v>169</v>
      </c>
      <c r="C42" s="10" t="s">
        <v>21</v>
      </c>
      <c r="D42" s="17">
        <v>0</v>
      </c>
      <c r="E42" s="10">
        <v>0</v>
      </c>
      <c r="F42" s="163">
        <f t="shared" si="3"/>
        <v>0</v>
      </c>
      <c r="G42" s="65">
        <f t="shared" si="4"/>
        <v>0</v>
      </c>
      <c r="H42" s="164">
        <f t="shared" si="5"/>
        <v>0</v>
      </c>
      <c r="I42" s="154"/>
      <c r="J42" s="154"/>
      <c r="K42" s="155"/>
      <c r="L42" s="198"/>
      <c r="M42" s="106"/>
      <c r="N42" s="106"/>
      <c r="O42" s="106"/>
      <c r="P42" s="106"/>
    </row>
    <row r="43" spans="2:16" ht="15">
      <c r="B43" s="10" t="s">
        <v>169</v>
      </c>
      <c r="C43" s="10" t="s">
        <v>21</v>
      </c>
      <c r="D43" s="17">
        <v>0</v>
      </c>
      <c r="E43" s="10">
        <v>0</v>
      </c>
      <c r="F43" s="163">
        <f>IF($C$37=0,0,H43/$C$37)</f>
        <v>0</v>
      </c>
      <c r="G43" s="65">
        <f>IF($H$52=0,0,H43/$H$52)</f>
        <v>0</v>
      </c>
      <c r="H43" s="164">
        <f>IF($C$37=0,0,D43*E43)</f>
        <v>0</v>
      </c>
      <c r="I43" s="154"/>
      <c r="J43" s="154"/>
      <c r="K43" s="155"/>
      <c r="L43" s="198"/>
      <c r="M43" s="106"/>
      <c r="N43" s="106"/>
      <c r="O43" s="106"/>
      <c r="P43" s="106"/>
    </row>
    <row r="44" spans="2:16" ht="15">
      <c r="B44" s="10" t="s">
        <v>169</v>
      </c>
      <c r="C44" s="10" t="s">
        <v>21</v>
      </c>
      <c r="D44" s="175">
        <f>$C$37</f>
        <v>0</v>
      </c>
      <c r="E44" s="10">
        <v>0</v>
      </c>
      <c r="F44" s="163">
        <f t="shared" si="3"/>
        <v>0</v>
      </c>
      <c r="G44" s="65">
        <f t="shared" si="4"/>
        <v>0</v>
      </c>
      <c r="H44" s="164">
        <f t="shared" si="5"/>
        <v>0</v>
      </c>
      <c r="I44" s="154"/>
      <c r="J44" s="154"/>
      <c r="K44" s="155"/>
      <c r="L44" s="198"/>
      <c r="M44" s="106"/>
      <c r="N44" s="106"/>
      <c r="O44" s="106"/>
      <c r="P44" s="106"/>
    </row>
    <row r="45" spans="2:16" ht="15">
      <c r="B45" s="10" t="s">
        <v>169</v>
      </c>
      <c r="C45" s="10" t="s">
        <v>21</v>
      </c>
      <c r="D45" s="175">
        <f>$C$37</f>
        <v>0</v>
      </c>
      <c r="E45" s="10">
        <v>0</v>
      </c>
      <c r="F45" s="163">
        <f t="shared" si="3"/>
        <v>0</v>
      </c>
      <c r="G45" s="65">
        <f t="shared" si="4"/>
        <v>0</v>
      </c>
      <c r="H45" s="164">
        <f t="shared" si="5"/>
        <v>0</v>
      </c>
      <c r="I45" s="154"/>
      <c r="J45" s="154"/>
      <c r="K45" s="155"/>
      <c r="L45" s="198"/>
      <c r="M45" s="106"/>
      <c r="N45" s="106"/>
      <c r="O45" s="106"/>
      <c r="P45" s="106"/>
    </row>
    <row r="46" spans="2:16" ht="15">
      <c r="B46" s="2" t="s">
        <v>251</v>
      </c>
      <c r="C46" s="10" t="s">
        <v>167</v>
      </c>
      <c r="D46" s="175">
        <f>$C$37</f>
        <v>0</v>
      </c>
      <c r="E46" s="10">
        <v>0</v>
      </c>
      <c r="F46" s="163">
        <f t="shared" si="3"/>
        <v>0</v>
      </c>
      <c r="G46" s="65">
        <f t="shared" si="4"/>
        <v>0</v>
      </c>
      <c r="H46" s="164">
        <f t="shared" si="5"/>
        <v>0</v>
      </c>
      <c r="I46" s="154"/>
      <c r="J46" s="154"/>
      <c r="K46" s="155"/>
      <c r="L46" s="198"/>
      <c r="M46" s="106"/>
      <c r="N46" s="106"/>
      <c r="O46" s="106"/>
      <c r="P46" s="106"/>
    </row>
    <row r="47" spans="2:16" ht="15">
      <c r="B47" s="10" t="s">
        <v>252</v>
      </c>
      <c r="C47" s="10" t="s">
        <v>21</v>
      </c>
      <c r="D47" s="175">
        <f>$C$37</f>
        <v>0</v>
      </c>
      <c r="E47" s="10">
        <v>0</v>
      </c>
      <c r="F47" s="163">
        <f t="shared" si="3"/>
        <v>0</v>
      </c>
      <c r="G47" s="65">
        <f t="shared" si="4"/>
        <v>0</v>
      </c>
      <c r="H47" s="164">
        <f t="shared" si="5"/>
        <v>0</v>
      </c>
      <c r="I47" s="154"/>
      <c r="J47" s="154"/>
      <c r="K47" s="155"/>
      <c r="L47" s="198"/>
      <c r="M47" s="106"/>
      <c r="N47" s="106"/>
      <c r="O47" s="106"/>
      <c r="P47" s="106"/>
    </row>
    <row r="48" spans="2:16" ht="15">
      <c r="B48" s="10" t="s">
        <v>169</v>
      </c>
      <c r="C48" s="10" t="s">
        <v>21</v>
      </c>
      <c r="D48" s="175">
        <f>$C$37</f>
        <v>0</v>
      </c>
      <c r="E48" s="10">
        <v>0</v>
      </c>
      <c r="F48" s="163">
        <f t="shared" si="3"/>
        <v>0</v>
      </c>
      <c r="G48" s="65">
        <f t="shared" si="4"/>
        <v>0</v>
      </c>
      <c r="H48" s="164">
        <f t="shared" si="5"/>
        <v>0</v>
      </c>
      <c r="I48" s="154"/>
      <c r="J48" s="154"/>
      <c r="K48" s="155"/>
      <c r="L48" s="198"/>
      <c r="M48" s="106"/>
      <c r="N48" s="106"/>
      <c r="O48" s="106"/>
      <c r="P48" s="106"/>
    </row>
    <row r="49" spans="2:16" ht="15">
      <c r="B49" s="166" t="s">
        <v>168</v>
      </c>
      <c r="C49" s="10" t="s">
        <v>21</v>
      </c>
      <c r="D49" s="16">
        <v>1</v>
      </c>
      <c r="E49" s="10">
        <v>0</v>
      </c>
      <c r="F49" s="163">
        <f t="shared" si="3"/>
        <v>0</v>
      </c>
      <c r="G49" s="65">
        <f t="shared" si="4"/>
        <v>0</v>
      </c>
      <c r="H49" s="164">
        <f>IF($C$37=0,0,D49*E49)</f>
        <v>0</v>
      </c>
      <c r="I49" s="154"/>
      <c r="J49" s="154"/>
      <c r="K49" s="155"/>
      <c r="L49" s="198"/>
      <c r="M49" s="106"/>
      <c r="N49" s="106"/>
      <c r="O49" s="106"/>
      <c r="P49" s="106"/>
    </row>
    <row r="50" spans="2:16" ht="15">
      <c r="B50" s="10" t="s">
        <v>169</v>
      </c>
      <c r="C50" s="10" t="s">
        <v>21</v>
      </c>
      <c r="D50" s="16">
        <v>0</v>
      </c>
      <c r="E50" s="10">
        <v>0</v>
      </c>
      <c r="F50" s="163">
        <f t="shared" si="3"/>
        <v>0</v>
      </c>
      <c r="G50" s="65">
        <f t="shared" si="4"/>
        <v>0</v>
      </c>
      <c r="H50" s="164">
        <f>IF($C$37=0,0,D50*E50)</f>
        <v>0</v>
      </c>
      <c r="I50" s="154"/>
      <c r="J50" s="154"/>
      <c r="K50" s="155"/>
      <c r="L50" s="198"/>
      <c r="M50" s="106"/>
      <c r="N50" s="106"/>
      <c r="O50" s="106"/>
      <c r="P50" s="106"/>
    </row>
    <row r="51" spans="2:16" ht="15">
      <c r="B51" s="140" t="s">
        <v>170</v>
      </c>
      <c r="C51" s="10" t="s">
        <v>171</v>
      </c>
      <c r="D51" s="175">
        <f>$C$37</f>
        <v>0</v>
      </c>
      <c r="E51" s="176">
        <f>E33</f>
        <v>12</v>
      </c>
      <c r="F51" s="163">
        <f t="shared" si="3"/>
        <v>0</v>
      </c>
      <c r="G51" s="65">
        <f t="shared" si="4"/>
        <v>0</v>
      </c>
      <c r="H51" s="164">
        <f>IF($C$37=0,0,D51*E51)</f>
        <v>0</v>
      </c>
      <c r="I51" s="154"/>
      <c r="J51" s="154"/>
      <c r="K51" s="167"/>
      <c r="L51" s="195">
        <f>H51</f>
        <v>0</v>
      </c>
      <c r="M51" s="106"/>
      <c r="N51" s="106"/>
      <c r="O51" s="106"/>
      <c r="P51" s="106"/>
    </row>
    <row r="52" spans="2:16" ht="15">
      <c r="B52" s="168" t="s">
        <v>175</v>
      </c>
      <c r="C52" s="177">
        <f>C37</f>
        <v>0</v>
      </c>
      <c r="D52" s="119"/>
      <c r="E52" s="119"/>
      <c r="F52" s="178">
        <f>SUM(F39:F51)</f>
        <v>0</v>
      </c>
      <c r="G52" s="60"/>
      <c r="H52" s="179">
        <f>SUM(H39:H51)</f>
        <v>0</v>
      </c>
      <c r="I52" s="154"/>
      <c r="J52" s="154"/>
      <c r="K52" s="155" t="s">
        <v>176</v>
      </c>
      <c r="L52" s="198"/>
      <c r="M52" s="106"/>
      <c r="N52" s="106"/>
      <c r="O52" s="106"/>
      <c r="P52" s="106"/>
    </row>
    <row r="53" spans="2:16" ht="15">
      <c r="B53" s="168" t="s">
        <v>231</v>
      </c>
      <c r="C53" s="154"/>
      <c r="D53" s="119"/>
      <c r="E53" s="119"/>
      <c r="F53" s="119"/>
      <c r="G53" s="60"/>
      <c r="H53" s="179"/>
      <c r="I53" s="154"/>
      <c r="J53" s="154"/>
      <c r="K53" s="155"/>
      <c r="L53" s="198"/>
      <c r="M53" s="106"/>
      <c r="N53" s="106"/>
      <c r="O53" s="106"/>
      <c r="P53" s="106"/>
    </row>
    <row r="54" spans="3:16" ht="15">
      <c r="C54" s="154"/>
      <c r="D54" s="119"/>
      <c r="E54" s="119"/>
      <c r="G54" s="104" t="s">
        <v>179</v>
      </c>
      <c r="I54" s="154"/>
      <c r="J54" s="154"/>
      <c r="K54" s="155"/>
      <c r="L54" s="198"/>
      <c r="M54" s="106"/>
      <c r="N54" s="106"/>
      <c r="O54" s="106"/>
      <c r="P54" s="106"/>
    </row>
    <row r="55" spans="2:16" ht="15">
      <c r="B55" s="168" t="s">
        <v>232</v>
      </c>
      <c r="C55" s="154"/>
      <c r="D55" s="119"/>
      <c r="E55" s="119"/>
      <c r="G55" s="264">
        <f>H55/D64</f>
        <v>114.45</v>
      </c>
      <c r="H55" s="179">
        <f>H34+H52</f>
        <v>10300.5</v>
      </c>
      <c r="I55" s="154"/>
      <c r="J55" s="154"/>
      <c r="K55" s="155"/>
      <c r="L55" s="198"/>
      <c r="M55" s="106"/>
      <c r="N55" s="106"/>
      <c r="O55" s="106"/>
      <c r="P55" s="106"/>
    </row>
    <row r="56" spans="2:16" ht="15">
      <c r="B56" s="168"/>
      <c r="C56" s="154"/>
      <c r="D56" s="119"/>
      <c r="E56" s="119"/>
      <c r="G56" s="119"/>
      <c r="H56" s="179"/>
      <c r="I56" s="154"/>
      <c r="J56" s="154"/>
      <c r="K56" s="155"/>
      <c r="L56" s="198"/>
      <c r="M56" s="106"/>
      <c r="N56" s="106"/>
      <c r="O56" s="106"/>
      <c r="P56" s="106"/>
    </row>
    <row r="57" spans="2:16" ht="15">
      <c r="B57" s="168" t="s">
        <v>177</v>
      </c>
      <c r="C57" s="154"/>
      <c r="D57" s="119"/>
      <c r="E57" s="119" t="s">
        <v>237</v>
      </c>
      <c r="G57" s="119"/>
      <c r="H57" s="104" t="s">
        <v>148</v>
      </c>
      <c r="I57" s="154"/>
      <c r="J57" s="154"/>
      <c r="K57" s="155"/>
      <c r="L57" s="198"/>
      <c r="M57" s="106"/>
      <c r="N57" s="106"/>
      <c r="O57" s="106"/>
      <c r="P57" s="106"/>
    </row>
    <row r="58" spans="2:16" ht="15">
      <c r="B58" s="180" t="s">
        <v>178</v>
      </c>
      <c r="C58" s="104" t="s">
        <v>21</v>
      </c>
      <c r="D58" s="119" t="s">
        <v>227</v>
      </c>
      <c r="E58" s="9">
        <f>C59/D59</f>
        <v>1.44</v>
      </c>
      <c r="F58" s="2" t="s">
        <v>233</v>
      </c>
      <c r="H58" s="104" t="s">
        <v>180</v>
      </c>
      <c r="I58" s="154"/>
      <c r="J58" s="154"/>
      <c r="K58" s="155"/>
      <c r="L58" s="198"/>
      <c r="M58" s="106"/>
      <c r="N58" s="106"/>
      <c r="O58" s="106"/>
      <c r="P58" s="106"/>
    </row>
    <row r="59" spans="2:16" ht="15">
      <c r="B59" s="168" t="s">
        <v>181</v>
      </c>
      <c r="C59" s="181">
        <f>F8</f>
        <v>36</v>
      </c>
      <c r="D59" s="276">
        <v>25</v>
      </c>
      <c r="F59" s="184">
        <f>'2. Bull Cost'!G18</f>
        <v>52.8</v>
      </c>
      <c r="G59" s="265">
        <f>H59/D64</f>
        <v>21.12</v>
      </c>
      <c r="H59" s="183">
        <f>C59*F59</f>
        <v>1900.8</v>
      </c>
      <c r="I59" s="154"/>
      <c r="J59" s="154"/>
      <c r="K59" s="155"/>
      <c r="L59" s="198"/>
      <c r="M59" s="106"/>
      <c r="N59" s="106"/>
      <c r="O59" s="106"/>
      <c r="P59" s="106"/>
    </row>
    <row r="60" spans="2:16" ht="15">
      <c r="B60" s="168"/>
      <c r="C60" s="181"/>
      <c r="D60" s="349"/>
      <c r="F60" s="184"/>
      <c r="G60" s="265"/>
      <c r="H60" s="183"/>
      <c r="I60" s="154"/>
      <c r="J60" s="154"/>
      <c r="K60" s="155"/>
      <c r="L60" s="198"/>
      <c r="M60" s="106"/>
      <c r="N60" s="106"/>
      <c r="O60" s="106"/>
      <c r="P60" s="106"/>
    </row>
    <row r="61" spans="2:16" ht="15">
      <c r="B61" s="168"/>
      <c r="C61" s="181"/>
      <c r="D61" s="181"/>
      <c r="E61" s="184"/>
      <c r="G61" s="182"/>
      <c r="H61" s="183"/>
      <c r="I61" s="154"/>
      <c r="J61" s="154"/>
      <c r="K61" s="155"/>
      <c r="L61" s="198"/>
      <c r="M61" s="106"/>
      <c r="N61" s="106"/>
      <c r="O61" s="106"/>
      <c r="P61" s="106"/>
    </row>
    <row r="62" spans="2:16" ht="15">
      <c r="B62" s="231" t="s">
        <v>305</v>
      </c>
      <c r="C62" s="293"/>
      <c r="D62" s="291"/>
      <c r="E62" s="231" t="s">
        <v>182</v>
      </c>
      <c r="F62" s="291"/>
      <c r="G62" s="291"/>
      <c r="H62" s="294">
        <f>H34+H52+H59</f>
        <v>12201.3</v>
      </c>
      <c r="I62" s="154"/>
      <c r="J62" s="154"/>
      <c r="L62" s="199">
        <f>SUM(L33:L51)</f>
        <v>1080</v>
      </c>
      <c r="M62" s="200">
        <f>L62/H62</f>
        <v>0.08851515822084532</v>
      </c>
      <c r="N62" s="106"/>
      <c r="O62" s="106"/>
      <c r="P62" s="106"/>
    </row>
    <row r="63" spans="2:16" ht="15">
      <c r="B63" s="154"/>
      <c r="C63" s="154"/>
      <c r="D63" s="134" t="s">
        <v>186</v>
      </c>
      <c r="E63" s="154"/>
      <c r="G63" s="104" t="s">
        <v>1</v>
      </c>
      <c r="H63" s="104"/>
      <c r="I63" s="154"/>
      <c r="J63" s="154"/>
      <c r="K63" s="155"/>
      <c r="L63" s="106"/>
      <c r="M63" s="106"/>
      <c r="N63" s="106"/>
      <c r="O63" s="106"/>
      <c r="P63" s="106"/>
    </row>
    <row r="64" spans="2:16" ht="15">
      <c r="B64" s="134" t="s">
        <v>185</v>
      </c>
      <c r="C64" s="185"/>
      <c r="D64" s="177">
        <f>D8</f>
        <v>90</v>
      </c>
      <c r="G64" s="277">
        <f>H62/D64</f>
        <v>135.57</v>
      </c>
      <c r="H64" s="263"/>
      <c r="I64" s="154"/>
      <c r="J64" s="154"/>
      <c r="K64" s="155"/>
      <c r="L64" s="106"/>
      <c r="M64" s="106"/>
      <c r="N64" s="106"/>
      <c r="O64" s="106"/>
      <c r="P64" s="106"/>
    </row>
    <row r="65" spans="5:16" ht="15">
      <c r="E65" s="1" t="s">
        <v>170</v>
      </c>
      <c r="F65" s="56" t="s">
        <v>327</v>
      </c>
      <c r="H65" s="1" t="s">
        <v>170</v>
      </c>
      <c r="I65" s="154"/>
      <c r="J65" s="325"/>
      <c r="K65" s="155"/>
      <c r="L65" s="106"/>
      <c r="M65" s="106"/>
      <c r="N65" s="106"/>
      <c r="O65" s="106"/>
      <c r="P65" s="106"/>
    </row>
    <row r="66" spans="2:16" ht="15" hidden="1">
      <c r="B66" s="140" t="s">
        <v>183</v>
      </c>
      <c r="C66" s="56"/>
      <c r="D66" s="140">
        <f>D8</f>
        <v>90</v>
      </c>
      <c r="G66" s="186">
        <f>H62/D66</f>
        <v>135.57</v>
      </c>
      <c r="I66" s="140"/>
      <c r="J66" s="186"/>
      <c r="K66" s="151"/>
      <c r="L66" s="106"/>
      <c r="M66" s="106"/>
      <c r="N66" s="106"/>
      <c r="O66" s="106"/>
      <c r="P66" s="106"/>
    </row>
    <row r="67" spans="2:16" ht="15">
      <c r="B67" s="134" t="s">
        <v>326</v>
      </c>
      <c r="C67" s="154"/>
      <c r="D67" s="104"/>
      <c r="E67" s="266">
        <f>L62</f>
        <v>1080</v>
      </c>
      <c r="F67" s="202">
        <f>E67/D13</f>
        <v>20</v>
      </c>
      <c r="G67" s="314">
        <f>IF(H62=0,0,(H33+H51)/H62)</f>
        <v>0.08851515822084532</v>
      </c>
      <c r="H67" s="338">
        <f>E67/'1.WeanedCalf to Sell Bred Heif '!E101</f>
        <v>0.008462731610211108</v>
      </c>
      <c r="I67" s="140"/>
      <c r="J67" s="186"/>
      <c r="K67" s="151" t="s">
        <v>325</v>
      </c>
      <c r="L67" s="106"/>
      <c r="M67" s="106"/>
      <c r="N67" s="106"/>
      <c r="O67" s="106"/>
      <c r="P67" s="106"/>
    </row>
    <row r="68" spans="2:16" ht="15">
      <c r="B68" s="289" t="s">
        <v>328</v>
      </c>
      <c r="C68" s="238"/>
      <c r="D68" s="290">
        <f>J15</f>
        <v>83.7</v>
      </c>
      <c r="E68" s="327">
        <f>E67/D68</f>
        <v>12.903225806451612</v>
      </c>
      <c r="F68" s="291"/>
      <c r="G68" s="292">
        <f>H62/D68</f>
        <v>145.77419354838707</v>
      </c>
      <c r="H68" s="338">
        <f>E68/G68</f>
        <v>0.08851515822084532</v>
      </c>
      <c r="I68" s="156"/>
      <c r="K68" s="187"/>
      <c r="L68" s="188"/>
      <c r="M68" s="106"/>
      <c r="N68" s="106"/>
      <c r="O68" s="106"/>
      <c r="P68" s="106"/>
    </row>
  </sheetData>
  <sheetProtection sheet="1"/>
  <mergeCells count="2">
    <mergeCell ref="B1:J1"/>
    <mergeCell ref="C3:H3"/>
  </mergeCells>
  <printOptions/>
  <pageMargins left="1" right="0.5" top="1" bottom="1" header="0.5" footer="0.5"/>
  <pageSetup fitToHeight="1" fitToWidth="1" horizontalDpi="600" verticalDpi="600" orientation="portrait" scale="61"/>
  <headerFooter alignWithMargins="0">
    <oddFooter>&amp;L&amp;F&amp;R&amp;A
</oddFooter>
  </headerFooter>
  <rowBreaks count="1" manualBreakCount="1">
    <brk id="62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I40"/>
  <sheetViews>
    <sheetView workbookViewId="0" topLeftCell="A22">
      <selection activeCell="B1" sqref="B1:G1"/>
    </sheetView>
  </sheetViews>
  <sheetFormatPr defaultColWidth="8.8515625" defaultRowHeight="12.75"/>
  <cols>
    <col min="1" max="1" width="4.7109375" style="0" customWidth="1"/>
    <col min="2" max="2" width="46.421875" style="0" customWidth="1"/>
    <col min="3" max="3" width="12.8515625" style="0" customWidth="1"/>
    <col min="4" max="4" width="14.28125" style="0" customWidth="1"/>
    <col min="5" max="5" width="17.140625" style="0" customWidth="1"/>
    <col min="6" max="6" width="14.421875" style="0" customWidth="1"/>
    <col min="7" max="7" width="8.140625" style="0" customWidth="1"/>
    <col min="8" max="8" width="12.7109375" style="0" customWidth="1"/>
  </cols>
  <sheetData>
    <row r="1" spans="2:7" ht="16.5">
      <c r="B1" s="367" t="s">
        <v>274</v>
      </c>
      <c r="C1" s="368"/>
      <c r="D1" s="368"/>
      <c r="E1" s="368"/>
      <c r="F1" s="368"/>
      <c r="G1" s="368"/>
    </row>
    <row r="4" spans="2:9" ht="15">
      <c r="B4" s="3" t="s">
        <v>144</v>
      </c>
      <c r="C4" s="316" t="str">
        <f>'3.Conventional AI BreedingCost'!C3:H3</f>
        <v>AI with Conventional  AI follow natural service clean up bulls</v>
      </c>
      <c r="D4" s="301"/>
      <c r="E4" s="301"/>
      <c r="F4" s="301"/>
      <c r="G4" s="301"/>
      <c r="H4" s="301"/>
      <c r="I4" s="77"/>
    </row>
    <row r="5" spans="2:9" ht="15">
      <c r="B5" s="3" t="s">
        <v>272</v>
      </c>
      <c r="C5" s="320" t="s">
        <v>21</v>
      </c>
      <c r="D5" s="313">
        <f>IF('1.WeanedCalf to Sell Bred Heif '!E4=2,0,'3.Conventional AI BreedingCost'!D4)</f>
        <v>90</v>
      </c>
      <c r="E5" s="328" t="str">
        <f>'1.WeanedCalf to Sell Bred Heif '!F4</f>
        <v>Conventional AI</v>
      </c>
      <c r="F5" s="132"/>
      <c r="G5" s="132"/>
      <c r="H5" s="132"/>
      <c r="I5" s="77"/>
    </row>
    <row r="6" spans="2:9" ht="15">
      <c r="B6" s="3" t="s">
        <v>201</v>
      </c>
      <c r="C6" s="6" t="s">
        <v>6</v>
      </c>
      <c r="D6" s="318">
        <f>'3.Conventional AI BreedingCost'!D5</f>
        <v>93</v>
      </c>
      <c r="E6" s="132"/>
      <c r="F6" s="132"/>
      <c r="G6" s="132"/>
      <c r="H6" s="132"/>
      <c r="I6" s="77"/>
    </row>
    <row r="7" spans="2:9" ht="15">
      <c r="B7" s="2" t="s">
        <v>308</v>
      </c>
      <c r="C7" s="6" t="s">
        <v>6</v>
      </c>
      <c r="D7" s="350">
        <f>'3.Conventional AI BreedingCost'!D6</f>
        <v>60</v>
      </c>
      <c r="E7" s="301" t="s">
        <v>294</v>
      </c>
      <c r="F7" s="132"/>
      <c r="G7" s="132"/>
      <c r="H7" s="132"/>
      <c r="I7" s="77"/>
    </row>
    <row r="8" spans="2:9" ht="15">
      <c r="B8" s="77"/>
      <c r="C8" s="76"/>
      <c r="D8" s="302"/>
      <c r="I8" s="77"/>
    </row>
    <row r="9" spans="2:4" ht="15">
      <c r="B9" s="77"/>
      <c r="C9" s="6"/>
      <c r="D9" s="313"/>
    </row>
    <row r="10" spans="2:6" ht="15">
      <c r="B10" s="77"/>
      <c r="C10" s="76"/>
      <c r="D10" s="321" t="s">
        <v>21</v>
      </c>
      <c r="E10" s="72"/>
      <c r="F10" s="321" t="s">
        <v>153</v>
      </c>
    </row>
    <row r="11" spans="2:6" ht="15">
      <c r="B11" s="2" t="s">
        <v>286</v>
      </c>
      <c r="C11" s="76" t="s">
        <v>155</v>
      </c>
      <c r="D11" s="130">
        <f>'3.Conventional AI BreedingCost'!H11</f>
        <v>41.85</v>
      </c>
      <c r="F11" s="190">
        <f>IF(D13=0,0,D11/$D$13)</f>
        <v>0.5</v>
      </c>
    </row>
    <row r="12" spans="2:6" ht="15">
      <c r="B12" s="77"/>
      <c r="C12" s="76" t="s">
        <v>101</v>
      </c>
      <c r="D12" s="130">
        <f>'3.Conventional AI BreedingCost'!H12</f>
        <v>41.85</v>
      </c>
      <c r="F12" s="190">
        <f>IF(D13=0,0,D12/$D$13)</f>
        <v>0.5</v>
      </c>
    </row>
    <row r="13" spans="2:7" ht="15">
      <c r="B13" s="77"/>
      <c r="C13" s="50" t="s">
        <v>152</v>
      </c>
      <c r="D13" s="41">
        <f>IF(D5=0,0,'3.Conventional AI BreedingCost'!H13)</f>
        <v>83.7</v>
      </c>
      <c r="F13" s="139"/>
      <c r="G13" s="38"/>
    </row>
    <row r="14" spans="2:7" ht="15">
      <c r="B14" s="147"/>
      <c r="C14" s="140"/>
      <c r="D14" s="149"/>
      <c r="E14" s="140"/>
      <c r="F14" s="150"/>
      <c r="G14" s="149"/>
    </row>
    <row r="15" spans="2:6" ht="15">
      <c r="B15" s="77"/>
      <c r="C15" s="136" t="s">
        <v>194</v>
      </c>
      <c r="D15" s="50" t="s">
        <v>196</v>
      </c>
      <c r="E15" s="50" t="s">
        <v>273</v>
      </c>
      <c r="F15" s="230" t="s">
        <v>223</v>
      </c>
    </row>
    <row r="16" spans="2:6" ht="15">
      <c r="B16" s="3" t="s">
        <v>221</v>
      </c>
      <c r="C16" s="136" t="s">
        <v>195</v>
      </c>
      <c r="D16" s="50" t="s">
        <v>197</v>
      </c>
      <c r="E16" s="50" t="s">
        <v>170</v>
      </c>
      <c r="F16" s="230" t="s">
        <v>222</v>
      </c>
    </row>
    <row r="17" spans="2:4" ht="15">
      <c r="B17" s="2" t="s">
        <v>269</v>
      </c>
      <c r="C17" s="195">
        <f>IF(D5=0,0,'1.WeanedCalf to Sell Bred Heif '!C90)</f>
        <v>878.1362007168458</v>
      </c>
      <c r="D17" s="139"/>
    </row>
    <row r="18" spans="2:4" ht="15">
      <c r="B18" s="2" t="s">
        <v>191</v>
      </c>
      <c r="C18" s="195">
        <f>IF(D5=0,0,'1.WeanedCalf to Sell Bred Heif '!C91)</f>
        <v>-161.68458781362003</v>
      </c>
      <c r="D18" s="139"/>
    </row>
    <row r="19" spans="2:4" ht="15">
      <c r="B19" s="2"/>
      <c r="C19" s="195"/>
      <c r="D19" s="139"/>
    </row>
    <row r="20" spans="2:4" ht="15">
      <c r="B20" s="3" t="s">
        <v>282</v>
      </c>
      <c r="C20" s="18">
        <f>IF(D5=0,0,C17+C18)</f>
        <v>716.4516129032257</v>
      </c>
      <c r="D20" s="65">
        <f>IF($C$29=0,0,C20/$C$29)</f>
        <v>0.4698931726569718</v>
      </c>
    </row>
    <row r="21" spans="2:4" ht="15">
      <c r="B21" s="77" t="s">
        <v>198</v>
      </c>
      <c r="C21" s="195">
        <f>IF(D5=0,0,'1.WeanedCalf to Sell Bred Heif '!C94)</f>
        <v>496.82072715178657</v>
      </c>
      <c r="D21" s="65">
        <f aca="true" t="shared" si="0" ref="D21:D26">IF($C$29=0,0,C21/$C$29)</f>
        <v>0.32584568660135066</v>
      </c>
    </row>
    <row r="22" spans="2:4" ht="15">
      <c r="B22" s="2" t="s">
        <v>279</v>
      </c>
      <c r="C22" s="195">
        <f>IF(D5=0,0,'1.WeanedCalf to Sell Bred Heif '!C96)</f>
        <v>0</v>
      </c>
      <c r="D22" s="65">
        <f t="shared" si="0"/>
        <v>0</v>
      </c>
    </row>
    <row r="23" spans="2:4" ht="15">
      <c r="B23" s="77" t="s">
        <v>200</v>
      </c>
      <c r="C23" s="195">
        <f>IF(D5=0,0,'1.WeanedCalf to Sell Bred Heif '!C95)</f>
        <v>33.452807646356035</v>
      </c>
      <c r="D23" s="65">
        <f t="shared" si="0"/>
        <v>0.021940415285732505</v>
      </c>
    </row>
    <row r="24" spans="2:6" ht="15">
      <c r="B24" s="3" t="s">
        <v>220</v>
      </c>
      <c r="C24" s="5">
        <f>IF(D5=0,0,'1.WeanedCalf to Sell Bred Heif '!C97)</f>
        <v>145.77419354838707</v>
      </c>
      <c r="D24" s="338">
        <f t="shared" si="0"/>
        <v>0.09560771036635998</v>
      </c>
      <c r="E24" s="5">
        <f>'1.WeanedCalf to Sell Bred Heif '!F97/'1.WeanedCalf to Sell Bred Heif '!C74</f>
        <v>12.903225806451612</v>
      </c>
      <c r="F24" s="338">
        <f>IF(C29=0,0,E24/C29)</f>
        <v>0.008462731610211108</v>
      </c>
    </row>
    <row r="25" spans="2:4" ht="15">
      <c r="B25" s="77" t="s">
        <v>189</v>
      </c>
      <c r="C25" s="195">
        <f>IF(D5=0,0,'1.WeanedCalf to Sell Bred Heif '!C98)</f>
        <v>67.69621865807011</v>
      </c>
      <c r="D25" s="65">
        <f t="shared" si="0"/>
        <v>0.044399357038529506</v>
      </c>
    </row>
    <row r="26" spans="2:4" ht="15">
      <c r="B26" s="2" t="s">
        <v>287</v>
      </c>
      <c r="C26" s="195">
        <f>IF(D5=0,0,'1.WeanedCalf to Sell Bred Heif '!C99)</f>
        <v>64.51612903225806</v>
      </c>
      <c r="D26" s="65">
        <f t="shared" si="0"/>
        <v>0.042313658051055546</v>
      </c>
    </row>
    <row r="27" ht="12">
      <c r="B27" s="1" t="s">
        <v>283</v>
      </c>
    </row>
    <row r="28" ht="12">
      <c r="B28" s="1"/>
    </row>
    <row r="29" spans="2:5" ht="15">
      <c r="B29" s="231" t="s">
        <v>280</v>
      </c>
      <c r="C29" s="243">
        <f>IF(D5=0,0,SUM(C20:C26))</f>
        <v>1524.7116889400836</v>
      </c>
      <c r="D29" s="139"/>
      <c r="E29" s="319"/>
    </row>
    <row r="31" spans="2:3" ht="15">
      <c r="B31" s="231" t="s">
        <v>276</v>
      </c>
      <c r="C31" s="243">
        <f>IF(D5=0,0,'1.WeanedCalf to Sell Bred Heif '!D82)</f>
        <v>1511.2903225806451</v>
      </c>
    </row>
    <row r="33" spans="2:3" ht="15">
      <c r="B33" s="231" t="s">
        <v>293</v>
      </c>
      <c r="C33" s="241">
        <f>C31-C29</f>
        <v>-13.42136635943848</v>
      </c>
    </row>
    <row r="35" spans="2:4" ht="15">
      <c r="B35" s="231" t="s">
        <v>284</v>
      </c>
      <c r="C35" s="291"/>
      <c r="D35" s="239">
        <f>IF(D5=0,0,'1.WeanedCalf to Sell Bred Heif '!F70)</f>
        <v>0.04347489917055691</v>
      </c>
    </row>
    <row r="36" ht="12">
      <c r="B36" s="56" t="s">
        <v>281</v>
      </c>
    </row>
    <row r="37" ht="12">
      <c r="B37" s="56" t="s">
        <v>283</v>
      </c>
    </row>
    <row r="38" ht="12">
      <c r="B38" s="311" t="s">
        <v>285</v>
      </c>
    </row>
    <row r="39" spans="2:5" ht="15">
      <c r="B39" s="77"/>
      <c r="C39" s="195"/>
      <c r="D39" s="139"/>
      <c r="E39" s="196"/>
    </row>
    <row r="40" spans="4:6" ht="15">
      <c r="D40" s="77"/>
      <c r="E40" s="77"/>
      <c r="F40" s="77"/>
    </row>
  </sheetData>
  <sheetProtection sheet="1"/>
  <mergeCells count="1">
    <mergeCell ref="B1:G1"/>
  </mergeCells>
  <printOptions/>
  <pageMargins left="0.95" right="0.45" top="0.75" bottom="0.75" header="0.3" footer="0.3"/>
  <pageSetup fitToHeight="1" fitToWidth="1" horizontalDpi="600" verticalDpi="600" orientation="portrait" paperSize="9" scale="80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K39"/>
  <sheetViews>
    <sheetView workbookViewId="0" topLeftCell="A1">
      <selection activeCell="I15" sqref="I15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3" width="14.7109375" style="0" customWidth="1"/>
    <col min="4" max="4" width="14.421875" style="0" customWidth="1"/>
    <col min="5" max="5" width="15.7109375" style="0" customWidth="1"/>
    <col min="6" max="6" width="14.8515625" style="0" customWidth="1"/>
    <col min="7" max="7" width="3.28125" style="0" hidden="1" customWidth="1"/>
    <col min="8" max="8" width="8.8515625" style="0" customWidth="1"/>
    <col min="9" max="9" width="28.00390625" style="0" customWidth="1"/>
  </cols>
  <sheetData>
    <row r="1" spans="2:7" ht="16.5">
      <c r="B1" s="367" t="s">
        <v>274</v>
      </c>
      <c r="C1" s="368"/>
      <c r="D1" s="368"/>
      <c r="E1" s="368"/>
      <c r="F1" s="368"/>
      <c r="G1" s="368"/>
    </row>
    <row r="4" spans="2:7" ht="15">
      <c r="B4" s="3" t="s">
        <v>144</v>
      </c>
      <c r="C4" s="316" t="s">
        <v>299</v>
      </c>
      <c r="D4" s="301"/>
      <c r="E4" s="301"/>
      <c r="F4" s="301"/>
      <c r="G4" s="301"/>
    </row>
    <row r="5" spans="2:7" ht="15">
      <c r="B5" s="3" t="s">
        <v>272</v>
      </c>
      <c r="C5" s="320" t="s">
        <v>21</v>
      </c>
      <c r="D5" s="313">
        <f>IF('1.WeanedCalf to Sell Bred Heif '!E4=1,0,'3.Conventional AI BreedingCost'!D4)</f>
        <v>0</v>
      </c>
      <c r="E5" s="328" t="str">
        <f>'1.WeanedCalf to Sell Bred Heif '!F4</f>
        <v>Conventional AI</v>
      </c>
      <c r="F5" s="132"/>
      <c r="G5" s="132"/>
    </row>
    <row r="6" spans="2:7" ht="15">
      <c r="B6" s="3" t="s">
        <v>300</v>
      </c>
      <c r="C6" s="6" t="s">
        <v>6</v>
      </c>
      <c r="D6" s="318">
        <f>'1.WeanedCalf to Sell Bred Heif '!D16</f>
        <v>93</v>
      </c>
      <c r="E6" s="132"/>
      <c r="F6" s="132"/>
      <c r="G6" s="132"/>
    </row>
    <row r="7" spans="2:5" ht="15">
      <c r="B7" s="77"/>
      <c r="C7" s="76"/>
      <c r="D7" s="321" t="s">
        <v>21</v>
      </c>
      <c r="E7" s="321" t="s">
        <v>153</v>
      </c>
    </row>
    <row r="8" spans="2:5" ht="15">
      <c r="B8" s="2" t="s">
        <v>286</v>
      </c>
      <c r="C8" s="76" t="s">
        <v>155</v>
      </c>
      <c r="D8" s="130">
        <f>+D6*D5*0.01*0.5</f>
        <v>0</v>
      </c>
      <c r="E8" s="190">
        <f>IF(D10=0,0,D8/$D$10)</f>
        <v>0</v>
      </c>
    </row>
    <row r="9" spans="2:5" ht="15">
      <c r="B9" s="77"/>
      <c r="C9" s="76" t="s">
        <v>101</v>
      </c>
      <c r="D9" s="130">
        <f>D8</f>
        <v>0</v>
      </c>
      <c r="E9" s="190">
        <f>IF(D10=0,0,D9/$D$10)</f>
        <v>0</v>
      </c>
    </row>
    <row r="10" spans="2:7" ht="15">
      <c r="B10" s="2" t="s">
        <v>348</v>
      </c>
      <c r="C10" s="50" t="s">
        <v>152</v>
      </c>
      <c r="D10" s="41">
        <f>D8+D9</f>
        <v>0</v>
      </c>
      <c r="F10" s="139"/>
      <c r="G10" s="38"/>
    </row>
    <row r="11" spans="2:7" ht="15">
      <c r="B11" s="147"/>
      <c r="C11" s="140"/>
      <c r="D11" s="149"/>
      <c r="E11" s="140"/>
      <c r="F11" s="150"/>
      <c r="G11" s="149"/>
    </row>
    <row r="12" spans="2:6" ht="15">
      <c r="B12" s="77"/>
      <c r="C12" s="136" t="s">
        <v>194</v>
      </c>
      <c r="D12" s="50" t="s">
        <v>196</v>
      </c>
      <c r="E12" s="50"/>
      <c r="F12" s="230"/>
    </row>
    <row r="13" spans="2:6" ht="15">
      <c r="B13" s="3" t="s">
        <v>221</v>
      </c>
      <c r="C13" s="136" t="s">
        <v>195</v>
      </c>
      <c r="D13" s="50" t="s">
        <v>197</v>
      </c>
      <c r="E13" s="50"/>
      <c r="F13" s="230"/>
    </row>
    <row r="14" spans="2:4" ht="15">
      <c r="B14" s="2" t="s">
        <v>269</v>
      </c>
      <c r="C14" s="195">
        <f>IF(D5=0,0,'1.WeanedCalf to Sell Bred Heif '!C90)</f>
        <v>0</v>
      </c>
      <c r="D14" s="139"/>
    </row>
    <row r="15" spans="2:4" ht="15">
      <c r="B15" s="2" t="s">
        <v>191</v>
      </c>
      <c r="C15" s="195">
        <f>IF(D5=0,0,'1.WeanedCalf to Sell Bred Heif '!C91)</f>
        <v>0</v>
      </c>
      <c r="D15" s="139"/>
    </row>
    <row r="16" spans="2:4" ht="15">
      <c r="B16" s="3" t="s">
        <v>282</v>
      </c>
      <c r="C16" s="5">
        <f>C14+C15</f>
        <v>0</v>
      </c>
      <c r="D16" s="334">
        <f>IF($C$31=0,0,C16/$C$31)</f>
        <v>0</v>
      </c>
    </row>
    <row r="17" spans="4:11" ht="15">
      <c r="D17" s="31"/>
      <c r="I17" s="3"/>
      <c r="J17" s="5"/>
      <c r="K17" s="334"/>
    </row>
    <row r="18" spans="2:4" ht="15">
      <c r="B18" s="77" t="s">
        <v>198</v>
      </c>
      <c r="C18" s="111">
        <f>IF(D5=0,0,'1.WeanedCalf to Sell Bred Heif '!C94)</f>
        <v>0</v>
      </c>
      <c r="D18" s="334">
        <f aca="true" t="shared" si="0" ref="D18:D28">IF($C$31=0,0,C18/$C$31)</f>
        <v>0</v>
      </c>
    </row>
    <row r="19" spans="2:4" ht="15">
      <c r="B19" s="77" t="s">
        <v>200</v>
      </c>
      <c r="C19" s="111">
        <f>IF(D5=0,0,'1.WeanedCalf to Sell Bred Heif '!C95)</f>
        <v>0</v>
      </c>
      <c r="D19" s="334">
        <f t="shared" si="0"/>
        <v>0</v>
      </c>
    </row>
    <row r="20" spans="2:6" ht="15">
      <c r="B20" s="2" t="s">
        <v>279</v>
      </c>
      <c r="C20" s="111">
        <f>IF(D5=0,0,'1.WeanedCalf to Sell Bred Heif '!C96)</f>
        <v>0</v>
      </c>
      <c r="D20" s="334">
        <f t="shared" si="0"/>
        <v>0</v>
      </c>
      <c r="F20" s="56"/>
    </row>
    <row r="21" spans="2:6" ht="15">
      <c r="B21" s="3" t="s">
        <v>343</v>
      </c>
      <c r="C21" s="111"/>
      <c r="D21" s="334"/>
      <c r="F21" s="273"/>
    </row>
    <row r="22" spans="2:6" ht="15">
      <c r="B22" s="302" t="s">
        <v>342</v>
      </c>
      <c r="C22" s="111">
        <f>IF(D5=0,0,'3.Conventional AI BreedingCost'!H21/D10)</f>
        <v>0</v>
      </c>
      <c r="D22" s="334">
        <f t="shared" si="0"/>
        <v>0</v>
      </c>
      <c r="F22" s="56"/>
    </row>
    <row r="23" spans="2:6" ht="15">
      <c r="B23" s="2" t="s">
        <v>340</v>
      </c>
      <c r="C23" s="202">
        <f>IF(D5=0,0,'3.Conventional AI BreedingCost'!H32/D10)</f>
        <v>0</v>
      </c>
      <c r="D23" s="334">
        <f t="shared" si="0"/>
        <v>0</v>
      </c>
      <c r="F23" s="56"/>
    </row>
    <row r="24" spans="2:5" ht="15">
      <c r="B24" s="2" t="s">
        <v>345</v>
      </c>
      <c r="C24" s="111">
        <f>IF(D5=0,0,('2. Bull Cost'!G18*D5)/D10)</f>
        <v>0</v>
      </c>
      <c r="D24" s="334">
        <f t="shared" si="0"/>
        <v>0</v>
      </c>
      <c r="E24" s="2" t="s">
        <v>346</v>
      </c>
    </row>
    <row r="25" spans="2:7" ht="15">
      <c r="B25" s="3" t="s">
        <v>344</v>
      </c>
      <c r="C25" s="5">
        <f>C22+C23+C24</f>
        <v>0</v>
      </c>
      <c r="D25" s="338">
        <f t="shared" si="0"/>
        <v>0</v>
      </c>
      <c r="E25" s="5">
        <f>IF(D5=0,0,C25*D10/D5)</f>
        <v>0</v>
      </c>
      <c r="G25" s="2" t="s">
        <v>340</v>
      </c>
    </row>
    <row r="26" spans="2:7" ht="15">
      <c r="B26" s="3"/>
      <c r="C26" s="5"/>
      <c r="D26" s="334"/>
      <c r="E26" s="18"/>
      <c r="G26" s="2"/>
    </row>
    <row r="27" spans="2:4" ht="15">
      <c r="B27" s="77" t="s">
        <v>189</v>
      </c>
      <c r="C27" s="111">
        <f>IF(D5=0,0,'1.WeanedCalf to Sell Bred Heif '!C98)</f>
        <v>0</v>
      </c>
      <c r="D27" s="334">
        <f t="shared" si="0"/>
        <v>0</v>
      </c>
    </row>
    <row r="28" spans="2:4" ht="15">
      <c r="B28" s="2" t="s">
        <v>287</v>
      </c>
      <c r="C28" s="111">
        <f>IF(D5=0,0,'1.WeanedCalf to Sell Bred Heif '!C99)</f>
        <v>0</v>
      </c>
      <c r="D28" s="334">
        <f t="shared" si="0"/>
        <v>0</v>
      </c>
    </row>
    <row r="29" ht="12">
      <c r="B29" s="1" t="s">
        <v>283</v>
      </c>
    </row>
    <row r="30" ht="12">
      <c r="B30" s="1"/>
    </row>
    <row r="31" spans="2:8" ht="15">
      <c r="B31" s="231" t="s">
        <v>280</v>
      </c>
      <c r="C31" s="241">
        <f>IF(D5=0,0,'1.WeanedCalf to Sell Bred Heif '!D80)</f>
        <v>0</v>
      </c>
      <c r="D31" s="139"/>
      <c r="E31" s="319"/>
      <c r="F31" s="19"/>
      <c r="H31" s="19"/>
    </row>
    <row r="33" spans="2:3" ht="15">
      <c r="B33" s="231" t="s">
        <v>276</v>
      </c>
      <c r="C33" s="243">
        <f>IF(D5=0,0,'1.WeanedCalf to Sell Bred Heif '!D82)</f>
        <v>0</v>
      </c>
    </row>
    <row r="35" spans="2:3" ht="15">
      <c r="B35" s="231" t="s">
        <v>293</v>
      </c>
      <c r="C35" s="241">
        <f>C33-C31</f>
        <v>0</v>
      </c>
    </row>
    <row r="37" spans="2:4" ht="15">
      <c r="B37" s="231" t="s">
        <v>284</v>
      </c>
      <c r="C37" s="291"/>
      <c r="D37" s="239">
        <f>IF(D5=0,0,'1.WeanedCalf to Sell Bred Heif '!F70)</f>
        <v>0</v>
      </c>
    </row>
    <row r="38" ht="12">
      <c r="B38" s="56" t="s">
        <v>281</v>
      </c>
    </row>
    <row r="39" ht="12">
      <c r="B39" s="311" t="s">
        <v>285</v>
      </c>
    </row>
  </sheetData>
  <sheetProtection sheet="1"/>
  <mergeCells count="1">
    <mergeCell ref="B1:G1"/>
  </mergeCells>
  <printOptions/>
  <pageMargins left="0.95" right="0.45" top="0.75" bottom="0.75" header="0.3" footer="0.3"/>
  <pageSetup fitToHeight="1" fitToWidth="1" horizontalDpi="600" verticalDpi="600" orientation="portrait" paperSize="9" scale="83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R70"/>
  <sheetViews>
    <sheetView workbookViewId="0" topLeftCell="A1">
      <selection activeCell="G41" sqref="G41"/>
    </sheetView>
  </sheetViews>
  <sheetFormatPr defaultColWidth="8.8515625" defaultRowHeight="12.75"/>
  <cols>
    <col min="1" max="1" width="7.140625" style="0" customWidth="1"/>
    <col min="2" max="2" width="28.140625" style="0" customWidth="1"/>
    <col min="3" max="3" width="16.28125" style="0" customWidth="1"/>
    <col min="4" max="4" width="21.421875" style="0" customWidth="1"/>
    <col min="5" max="5" width="14.28125" style="0" customWidth="1"/>
    <col min="6" max="6" width="17.28125" style="0" customWidth="1"/>
    <col min="7" max="7" width="15.8515625" style="0" customWidth="1"/>
    <col min="8" max="9" width="11.00390625" style="0" customWidth="1"/>
    <col min="10" max="10" width="11.140625" style="0" customWidth="1"/>
    <col min="11" max="11" width="3.8515625" style="0" customWidth="1"/>
  </cols>
  <sheetData>
    <row r="1" spans="2:18" ht="16.5">
      <c r="B1" s="367" t="s">
        <v>240</v>
      </c>
      <c r="C1" s="356"/>
      <c r="D1" s="356"/>
      <c r="E1" s="356"/>
      <c r="F1" s="356"/>
      <c r="G1" s="356"/>
      <c r="H1" s="356"/>
      <c r="I1" s="356"/>
      <c r="J1" s="6"/>
      <c r="K1" s="6"/>
      <c r="L1" s="6"/>
      <c r="M1" s="6"/>
      <c r="N1" s="6"/>
      <c r="O1" s="6"/>
      <c r="P1" s="69"/>
      <c r="Q1" s="69"/>
      <c r="R1" s="69"/>
    </row>
    <row r="2" spans="7:18" ht="21"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</row>
    <row r="3" spans="2:18" ht="18">
      <c r="B3" s="3" t="s">
        <v>87</v>
      </c>
      <c r="Q3" s="71"/>
      <c r="R3" s="71"/>
    </row>
    <row r="4" spans="2:18" ht="18">
      <c r="B4" s="72" t="s">
        <v>88</v>
      </c>
      <c r="C4" s="352" t="s">
        <v>349</v>
      </c>
      <c r="D4" s="74"/>
      <c r="E4" s="75">
        <v>40603</v>
      </c>
      <c r="F4" s="76"/>
      <c r="G4" s="76"/>
      <c r="H4" s="76" t="s">
        <v>89</v>
      </c>
      <c r="I4" s="76" t="s">
        <v>90</v>
      </c>
      <c r="J4" s="76" t="s">
        <v>90</v>
      </c>
      <c r="L4" s="77" t="s">
        <v>91</v>
      </c>
      <c r="M4" s="78"/>
      <c r="Q4" s="71"/>
      <c r="R4" s="71"/>
    </row>
    <row r="5" spans="2:13" ht="15">
      <c r="B5" s="72" t="s">
        <v>92</v>
      </c>
      <c r="C5" s="76"/>
      <c r="D5" s="76" t="s">
        <v>93</v>
      </c>
      <c r="E5" s="76" t="s">
        <v>94</v>
      </c>
      <c r="F5" s="76" t="s">
        <v>94</v>
      </c>
      <c r="G5" s="76" t="s">
        <v>93</v>
      </c>
      <c r="H5" s="76" t="s">
        <v>95</v>
      </c>
      <c r="I5" s="76" t="s">
        <v>96</v>
      </c>
      <c r="J5" s="76" t="s">
        <v>94</v>
      </c>
      <c r="L5" s="79" t="s">
        <v>97</v>
      </c>
      <c r="M5" s="78"/>
    </row>
    <row r="6" spans="2:13" ht="15">
      <c r="B6" s="77">
        <v>400</v>
      </c>
      <c r="C6" s="77">
        <v>500</v>
      </c>
      <c r="D6" s="77">
        <f>(B6+C6)/2</f>
        <v>450</v>
      </c>
      <c r="E6" s="351">
        <v>155</v>
      </c>
      <c r="F6" s="351">
        <v>165</v>
      </c>
      <c r="G6" s="80">
        <f>(E6+F6)*0.5</f>
        <v>160</v>
      </c>
      <c r="H6" s="80">
        <f>F6-E6</f>
        <v>10</v>
      </c>
      <c r="I6" s="80"/>
      <c r="J6" s="77"/>
      <c r="M6" s="78"/>
    </row>
    <row r="7" spans="2:13" ht="15">
      <c r="B7" s="77"/>
      <c r="C7" s="77"/>
      <c r="D7" s="77"/>
      <c r="E7" s="351"/>
      <c r="F7" s="351"/>
      <c r="G7" s="80"/>
      <c r="H7" s="80"/>
      <c r="I7" s="80">
        <f>(G6-G8)/100</f>
        <v>0.21</v>
      </c>
      <c r="J7" s="80">
        <f>I7*100</f>
        <v>21</v>
      </c>
      <c r="L7" s="81">
        <f>IF($E$38&lt;=550,$J$7,0)</f>
        <v>21</v>
      </c>
      <c r="M7" s="78"/>
    </row>
    <row r="8" spans="2:13" ht="15">
      <c r="B8" s="77">
        <v>500</v>
      </c>
      <c r="C8" s="77">
        <v>600</v>
      </c>
      <c r="D8" s="77">
        <f>(B8+C8)/2</f>
        <v>550</v>
      </c>
      <c r="E8" s="351">
        <v>134</v>
      </c>
      <c r="F8" s="351">
        <v>144</v>
      </c>
      <c r="G8" s="82">
        <f>(E8+F8)*0.5</f>
        <v>139</v>
      </c>
      <c r="H8" s="80">
        <f>F8-E8</f>
        <v>10</v>
      </c>
      <c r="I8" s="80"/>
      <c r="J8" s="77"/>
      <c r="M8" s="78"/>
    </row>
    <row r="9" spans="2:12" ht="15">
      <c r="B9" s="77"/>
      <c r="C9" s="83"/>
      <c r="D9" s="77"/>
      <c r="E9" s="351"/>
      <c r="F9" s="351"/>
      <c r="G9" s="82"/>
      <c r="H9" s="80"/>
      <c r="I9" s="80">
        <f>(G8-G10)/100</f>
        <v>0.055</v>
      </c>
      <c r="J9" s="80">
        <f>I9*100</f>
        <v>5.5</v>
      </c>
      <c r="L9" s="81">
        <f>IF(AND($E$38&gt;=551,$E$38&lt;=650),$J$9,0)</f>
        <v>0</v>
      </c>
    </row>
    <row r="10" spans="2:10" ht="15">
      <c r="B10" s="77">
        <v>600</v>
      </c>
      <c r="C10" s="77">
        <v>700</v>
      </c>
      <c r="D10" s="77">
        <f>(B10+C10)/2</f>
        <v>650</v>
      </c>
      <c r="E10" s="351">
        <v>130</v>
      </c>
      <c r="F10" s="351">
        <v>137</v>
      </c>
      <c r="G10" s="82">
        <f>(E10+F10)*0.5</f>
        <v>133.5</v>
      </c>
      <c r="H10" s="80">
        <f>F10-E10</f>
        <v>7</v>
      </c>
      <c r="I10" s="80"/>
      <c r="J10" s="77"/>
    </row>
    <row r="11" spans="2:12" ht="15">
      <c r="B11" s="77"/>
      <c r="C11" s="77"/>
      <c r="D11" s="77"/>
      <c r="E11" s="351"/>
      <c r="F11" s="351"/>
      <c r="G11" s="80"/>
      <c r="H11" s="80"/>
      <c r="I11" s="80">
        <f>(G10-G12)/100</f>
        <v>0.03</v>
      </c>
      <c r="J11" s="80">
        <f>I11*100</f>
        <v>3</v>
      </c>
      <c r="L11" s="81">
        <f>IF(AND($E$38&gt;=651,$E$38&lt;=750),$J$11,0)</f>
        <v>0</v>
      </c>
    </row>
    <row r="12" spans="2:14" ht="15">
      <c r="B12" s="77">
        <v>700</v>
      </c>
      <c r="C12" s="77">
        <v>800</v>
      </c>
      <c r="D12" s="77">
        <f>(B12+C12)/2</f>
        <v>750</v>
      </c>
      <c r="E12" s="351">
        <v>128</v>
      </c>
      <c r="F12" s="351">
        <v>133</v>
      </c>
      <c r="G12" s="80">
        <f>(E12+F12)*0.5</f>
        <v>130.5</v>
      </c>
      <c r="H12" s="80">
        <f>F12-E12</f>
        <v>5</v>
      </c>
      <c r="I12" s="80"/>
      <c r="J12" s="77"/>
      <c r="M12" s="84"/>
      <c r="N12" s="77"/>
    </row>
    <row r="13" spans="2:14" ht="15">
      <c r="B13" s="77"/>
      <c r="C13" s="77"/>
      <c r="D13" s="77"/>
      <c r="E13" s="351"/>
      <c r="F13" s="351"/>
      <c r="G13" s="80"/>
      <c r="H13" s="80"/>
      <c r="I13" s="80">
        <f>(G12-G14)/100</f>
        <v>0.075</v>
      </c>
      <c r="J13" s="80">
        <f>I13*100</f>
        <v>7.5</v>
      </c>
      <c r="L13" s="81">
        <f>IF(AND($E$38&gt;=751,$E$38&lt;=900),$J$13,0)</f>
        <v>0</v>
      </c>
      <c r="M13" s="84"/>
      <c r="N13" s="77"/>
    </row>
    <row r="14" spans="2:14" ht="15">
      <c r="B14" s="77">
        <v>800</v>
      </c>
      <c r="C14" s="77">
        <v>900</v>
      </c>
      <c r="D14" s="77">
        <f>(B14+C14)/2</f>
        <v>850</v>
      </c>
      <c r="E14" s="351">
        <v>121</v>
      </c>
      <c r="F14" s="351">
        <v>125</v>
      </c>
      <c r="G14" s="80">
        <f>(E14+F14)*0.5</f>
        <v>123</v>
      </c>
      <c r="H14" s="80">
        <f>F14-E14</f>
        <v>4</v>
      </c>
      <c r="I14" s="80"/>
      <c r="J14" s="77"/>
      <c r="L14" s="85"/>
      <c r="M14" s="84"/>
      <c r="N14" s="77"/>
    </row>
    <row r="15" spans="12:14" ht="15">
      <c r="L15" s="85">
        <f>SUM(L7:L14)</f>
        <v>21</v>
      </c>
      <c r="M15" s="84"/>
      <c r="N15" s="84"/>
    </row>
    <row r="16" spans="2:14" ht="15">
      <c r="B16" s="3" t="s">
        <v>98</v>
      </c>
      <c r="M16" s="84"/>
      <c r="N16" s="84"/>
    </row>
    <row r="17" spans="7:14" ht="15">
      <c r="G17" s="86"/>
      <c r="H17" s="86"/>
      <c r="I17" s="86"/>
      <c r="J17" s="86"/>
      <c r="M17" s="84"/>
      <c r="N17" s="84"/>
    </row>
    <row r="18" spans="2:14" ht="15">
      <c r="B18" s="72" t="s">
        <v>88</v>
      </c>
      <c r="C18" s="73" t="str">
        <f>C4</f>
        <v>TX</v>
      </c>
      <c r="E18" s="87">
        <f>E4</f>
        <v>40603</v>
      </c>
      <c r="F18" s="77"/>
      <c r="G18" s="77"/>
      <c r="H18" s="77"/>
      <c r="I18" s="77"/>
      <c r="J18" s="77"/>
      <c r="L18" s="77"/>
      <c r="M18" s="84"/>
      <c r="N18" s="84"/>
    </row>
    <row r="19" spans="2:14" ht="15">
      <c r="B19" s="72"/>
      <c r="C19" s="76"/>
      <c r="D19" s="77"/>
      <c r="E19" s="77"/>
      <c r="F19" s="77"/>
      <c r="G19" s="77"/>
      <c r="H19" s="76" t="s">
        <v>89</v>
      </c>
      <c r="I19" s="76" t="s">
        <v>90</v>
      </c>
      <c r="J19" s="76" t="s">
        <v>90</v>
      </c>
      <c r="L19" s="77" t="s">
        <v>91</v>
      </c>
      <c r="M19" s="84"/>
      <c r="N19" s="84"/>
    </row>
    <row r="20" spans="2:14" ht="15">
      <c r="B20" s="72" t="s">
        <v>92</v>
      </c>
      <c r="C20" s="77"/>
      <c r="D20" s="77" t="s">
        <v>93</v>
      </c>
      <c r="E20" s="77"/>
      <c r="F20" s="77"/>
      <c r="G20" s="76" t="s">
        <v>93</v>
      </c>
      <c r="H20" s="77" t="s">
        <v>95</v>
      </c>
      <c r="I20" s="76" t="s">
        <v>96</v>
      </c>
      <c r="J20" s="76" t="s">
        <v>94</v>
      </c>
      <c r="L20" s="79" t="s">
        <v>97</v>
      </c>
      <c r="M20" s="84"/>
      <c r="N20" s="84"/>
    </row>
    <row r="21" spans="2:14" ht="15">
      <c r="B21" s="77">
        <v>400</v>
      </c>
      <c r="C21" s="77">
        <v>500</v>
      </c>
      <c r="D21" s="77">
        <f>(B21+C21)/2</f>
        <v>450</v>
      </c>
      <c r="E21" s="351">
        <v>135</v>
      </c>
      <c r="F21" s="351">
        <v>145</v>
      </c>
      <c r="G21" s="80">
        <f>(E21+F21)*0.5</f>
        <v>140</v>
      </c>
      <c r="H21" s="80">
        <f>F21-E21</f>
        <v>10</v>
      </c>
      <c r="I21" s="80"/>
      <c r="J21" s="77"/>
      <c r="M21" s="84"/>
      <c r="N21" s="84"/>
    </row>
    <row r="22" spans="2:18" ht="15">
      <c r="B22" s="77"/>
      <c r="C22" s="77"/>
      <c r="D22" s="77"/>
      <c r="E22" s="21"/>
      <c r="F22" s="21"/>
      <c r="G22" s="80"/>
      <c r="H22" s="80"/>
      <c r="I22" s="80">
        <f>(G21-G23)/100</f>
        <v>0.13</v>
      </c>
      <c r="J22" s="80">
        <f>I22*100</f>
        <v>13</v>
      </c>
      <c r="L22" s="11">
        <f>IF($E$38&lt;=550,$J$22,0)</f>
        <v>13</v>
      </c>
      <c r="M22" s="84"/>
      <c r="N22" s="84"/>
      <c r="P22" s="88"/>
      <c r="Q22" s="84"/>
      <c r="R22" s="84"/>
    </row>
    <row r="23" spans="2:18" ht="15">
      <c r="B23" s="77">
        <v>500</v>
      </c>
      <c r="C23" s="77">
        <v>600</v>
      </c>
      <c r="D23" s="77">
        <f>(B23+C23)/2</f>
        <v>550</v>
      </c>
      <c r="E23" s="351">
        <v>122</v>
      </c>
      <c r="F23" s="351">
        <v>132</v>
      </c>
      <c r="G23" s="82">
        <f>(E23+F23)*0.5</f>
        <v>127</v>
      </c>
      <c r="H23" s="80">
        <f>F23-E23</f>
        <v>10</v>
      </c>
      <c r="I23" s="80"/>
      <c r="J23" s="77"/>
      <c r="M23" s="84"/>
      <c r="N23" s="84"/>
      <c r="O23" s="84"/>
      <c r="P23" s="88"/>
      <c r="Q23" s="84"/>
      <c r="R23" s="84"/>
    </row>
    <row r="24" spans="2:18" ht="15">
      <c r="B24" s="77"/>
      <c r="C24" s="83"/>
      <c r="D24" s="77"/>
      <c r="E24" s="351"/>
      <c r="F24" s="351"/>
      <c r="G24" s="82"/>
      <c r="H24" s="80"/>
      <c r="I24" s="80">
        <f>(G23-G25)/100</f>
        <v>0.045</v>
      </c>
      <c r="J24" s="80">
        <f>I24*100</f>
        <v>4.5</v>
      </c>
      <c r="L24" s="11">
        <f>IF(AND($E$38&gt;=551,$E$38&lt;=650),$J$24,0)</f>
        <v>0</v>
      </c>
      <c r="M24" s="84"/>
      <c r="N24" s="84"/>
      <c r="O24" s="84"/>
      <c r="P24" s="88"/>
      <c r="Q24" s="84"/>
      <c r="R24" s="84"/>
    </row>
    <row r="25" spans="2:18" ht="15">
      <c r="B25" s="77">
        <v>600</v>
      </c>
      <c r="C25" s="77">
        <v>700</v>
      </c>
      <c r="D25" s="77">
        <f>(B25+C25)/2</f>
        <v>650</v>
      </c>
      <c r="E25" s="351">
        <v>119</v>
      </c>
      <c r="F25" s="351">
        <v>126</v>
      </c>
      <c r="G25" s="82">
        <f>(E25+F25)*0.5</f>
        <v>122.5</v>
      </c>
      <c r="H25" s="80">
        <f>F25-E25</f>
        <v>7</v>
      </c>
      <c r="I25" s="80"/>
      <c r="J25" s="77"/>
      <c r="M25" s="84"/>
      <c r="N25" s="84"/>
      <c r="O25" s="84"/>
      <c r="P25" s="88"/>
      <c r="Q25" s="84"/>
      <c r="R25" s="84"/>
    </row>
    <row r="26" spans="2:18" ht="15">
      <c r="B26" s="77"/>
      <c r="C26" s="77"/>
      <c r="D26" s="77"/>
      <c r="E26" s="351"/>
      <c r="F26" s="351"/>
      <c r="G26" s="80"/>
      <c r="H26" s="80"/>
      <c r="I26" s="80">
        <f>(G25-G27)/100</f>
        <v>0.03</v>
      </c>
      <c r="J26" s="80">
        <f>I26*100</f>
        <v>3</v>
      </c>
      <c r="L26" s="11">
        <f>IF(AND($E$38&gt;=651,$E$38&lt;=750),$J$26,0)</f>
        <v>0</v>
      </c>
      <c r="M26" s="84"/>
      <c r="N26" s="84"/>
      <c r="O26" s="84"/>
      <c r="P26" s="88"/>
      <c r="Q26" s="84"/>
      <c r="R26" s="84"/>
    </row>
    <row r="27" spans="2:18" ht="15">
      <c r="B27" s="77">
        <v>700</v>
      </c>
      <c r="C27" s="77">
        <v>800</v>
      </c>
      <c r="D27" s="77">
        <f>(B27+C27)/2</f>
        <v>750</v>
      </c>
      <c r="E27" s="351">
        <v>117</v>
      </c>
      <c r="F27" s="351">
        <v>122</v>
      </c>
      <c r="G27" s="80">
        <f>(E27+F27)*0.5</f>
        <v>119.5</v>
      </c>
      <c r="H27" s="80">
        <f>F27-E27</f>
        <v>5</v>
      </c>
      <c r="I27" s="80"/>
      <c r="J27" s="77"/>
      <c r="L27" s="81"/>
      <c r="M27" s="84"/>
      <c r="N27" s="84"/>
      <c r="O27" s="84"/>
      <c r="P27" s="88"/>
      <c r="Q27" s="84"/>
      <c r="R27" s="84"/>
    </row>
    <row r="28" spans="13:15" ht="15">
      <c r="M28" s="84"/>
      <c r="N28" s="84"/>
      <c r="O28" s="84"/>
    </row>
    <row r="29" spans="2:15" ht="15.75" thickBot="1">
      <c r="B29" s="25" t="s">
        <v>99</v>
      </c>
      <c r="C29" s="60" t="s">
        <v>16</v>
      </c>
      <c r="D29" s="76" t="s">
        <v>100</v>
      </c>
      <c r="E29" s="76" t="s">
        <v>101</v>
      </c>
      <c r="F29" s="3" t="s">
        <v>102</v>
      </c>
      <c r="L29" s="81">
        <f>SUM(L22:L27)</f>
        <v>13</v>
      </c>
      <c r="M29" s="84"/>
      <c r="N29" s="84"/>
      <c r="O29" s="84"/>
    </row>
    <row r="30" spans="4:15" ht="15.75" thickTop="1">
      <c r="D30" s="77"/>
      <c r="E30" s="77"/>
      <c r="F30" s="89" t="s">
        <v>94</v>
      </c>
      <c r="G30" s="89" t="s">
        <v>1</v>
      </c>
      <c r="M30" s="84"/>
      <c r="N30" s="84"/>
      <c r="O30" s="84"/>
    </row>
    <row r="31" spans="3:15" ht="15">
      <c r="C31" s="77">
        <f>D21</f>
        <v>450</v>
      </c>
      <c r="D31" s="80">
        <f>G6</f>
        <v>160</v>
      </c>
      <c r="E31" s="80">
        <f>G21</f>
        <v>140</v>
      </c>
      <c r="F31" s="90">
        <f>D31-E31</f>
        <v>20</v>
      </c>
      <c r="G31" s="90">
        <f>C31*F31*0.01</f>
        <v>90</v>
      </c>
      <c r="L31" s="81"/>
      <c r="M31" s="84"/>
      <c r="N31" s="84"/>
      <c r="O31" s="84"/>
    </row>
    <row r="32" spans="3:18" ht="15">
      <c r="C32" s="77">
        <f>D23</f>
        <v>550</v>
      </c>
      <c r="D32" s="80">
        <f>G8</f>
        <v>139</v>
      </c>
      <c r="E32" s="80">
        <f>G23</f>
        <v>127</v>
      </c>
      <c r="F32" s="90">
        <f>D32-E32</f>
        <v>12</v>
      </c>
      <c r="G32" s="90">
        <f>C32*F32*0.01</f>
        <v>66</v>
      </c>
      <c r="L32" s="81"/>
      <c r="M32" s="84"/>
      <c r="N32" s="84"/>
      <c r="O32" s="84"/>
      <c r="P32" s="88"/>
      <c r="Q32" s="84"/>
      <c r="R32" s="84"/>
    </row>
    <row r="33" spans="3:18" ht="15">
      <c r="C33" s="77">
        <f>D25</f>
        <v>650</v>
      </c>
      <c r="D33" s="80">
        <f>G10</f>
        <v>133.5</v>
      </c>
      <c r="E33" s="80">
        <f>G25</f>
        <v>122.5</v>
      </c>
      <c r="F33" s="90">
        <f>D33-E33</f>
        <v>11</v>
      </c>
      <c r="G33" s="90">
        <f>C33*F33*0.01</f>
        <v>71.5</v>
      </c>
      <c r="K33" s="84"/>
      <c r="L33" s="81"/>
      <c r="M33" s="84"/>
      <c r="N33" s="84"/>
      <c r="O33" s="84"/>
      <c r="P33" s="91"/>
      <c r="Q33" s="84"/>
      <c r="R33" s="77"/>
    </row>
    <row r="34" spans="3:18" ht="15.75" thickBot="1">
      <c r="C34" s="77">
        <f>D27</f>
        <v>750</v>
      </c>
      <c r="D34" s="80">
        <f>G12</f>
        <v>130.5</v>
      </c>
      <c r="E34" s="80">
        <f>G27</f>
        <v>119.5</v>
      </c>
      <c r="F34" s="92">
        <f>D34-E34</f>
        <v>11</v>
      </c>
      <c r="G34" s="92">
        <f>C34*F34*0.01</f>
        <v>82.5</v>
      </c>
      <c r="K34" s="84"/>
      <c r="L34" s="81"/>
      <c r="M34" s="84"/>
      <c r="N34" s="84"/>
      <c r="O34" s="84"/>
      <c r="P34" s="91"/>
      <c r="Q34" s="84"/>
      <c r="R34" s="77"/>
    </row>
    <row r="35" ht="15.75" thickTop="1">
      <c r="B35" s="3" t="s">
        <v>103</v>
      </c>
    </row>
    <row r="36" spans="2:12" ht="16.5">
      <c r="B36" s="93" t="s">
        <v>104</v>
      </c>
      <c r="H36" s="88"/>
      <c r="I36" s="88"/>
      <c r="J36" s="88"/>
      <c r="K36" s="88"/>
      <c r="L36" s="88"/>
    </row>
    <row r="37" spans="2:12" ht="21">
      <c r="B37" s="77"/>
      <c r="D37" s="94"/>
      <c r="E37" s="1" t="s">
        <v>105</v>
      </c>
      <c r="F37" s="70"/>
      <c r="G37" s="1" t="s">
        <v>106</v>
      </c>
      <c r="H37" s="88"/>
      <c r="I37" s="88"/>
      <c r="J37" s="88"/>
      <c r="K37" s="88"/>
      <c r="L37" s="88"/>
    </row>
    <row r="38" spans="2:12" ht="21">
      <c r="B38" s="77" t="s">
        <v>107</v>
      </c>
      <c r="D38" s="60" t="s">
        <v>108</v>
      </c>
      <c r="E38" s="95">
        <v>550</v>
      </c>
      <c r="F38" s="70"/>
      <c r="G38" s="95">
        <v>525</v>
      </c>
      <c r="H38" s="88"/>
      <c r="I38" s="88"/>
      <c r="J38" s="88"/>
      <c r="K38" s="88"/>
      <c r="L38" s="88"/>
    </row>
    <row r="39" spans="2:12" ht="15">
      <c r="B39" s="2" t="s">
        <v>109</v>
      </c>
      <c r="D39" s="2"/>
      <c r="E39" s="2"/>
      <c r="G39" s="77"/>
      <c r="H39" s="88"/>
      <c r="I39" s="88"/>
      <c r="J39" s="88"/>
      <c r="K39" s="88"/>
      <c r="L39" t="s">
        <v>106</v>
      </c>
    </row>
    <row r="40" spans="2:12" ht="21">
      <c r="B40" s="2" t="s">
        <v>110</v>
      </c>
      <c r="D40" s="60" t="s">
        <v>50</v>
      </c>
      <c r="E40" s="96">
        <v>128</v>
      </c>
      <c r="F40" s="70"/>
      <c r="G40" s="97">
        <f>E40</f>
        <v>128</v>
      </c>
      <c r="H40" s="88"/>
      <c r="I40" t="s">
        <v>111</v>
      </c>
      <c r="L40" t="s">
        <v>112</v>
      </c>
    </row>
    <row r="41" spans="2:12" ht="15">
      <c r="B41" s="2" t="s">
        <v>113</v>
      </c>
      <c r="D41" s="60" t="s">
        <v>108</v>
      </c>
      <c r="E41" s="98">
        <v>750</v>
      </c>
      <c r="G41" s="99">
        <f>E41</f>
        <v>750</v>
      </c>
      <c r="H41" s="88"/>
      <c r="I41" s="78" t="s">
        <v>114</v>
      </c>
      <c r="L41" s="78" t="s">
        <v>114</v>
      </c>
    </row>
    <row r="42" spans="2:13" ht="15">
      <c r="B42" s="2" t="s">
        <v>115</v>
      </c>
      <c r="D42" s="60" t="s">
        <v>108</v>
      </c>
      <c r="E42" s="95">
        <v>0</v>
      </c>
      <c r="G42" s="100">
        <f>E42</f>
        <v>0</v>
      </c>
      <c r="H42" s="101"/>
      <c r="I42" s="78">
        <f>IF(($E$38&gt;($E$41+$E$42)),(-$E$44*0.01*($E$38-$E$41)),0)</f>
        <v>0</v>
      </c>
      <c r="J42" t="s">
        <v>116</v>
      </c>
      <c r="L42" s="78">
        <f>IF(($G$38&gt;($G$41+$G$42)),(-$G$44*0.01*($G$38-$G$41)),0)</f>
        <v>0</v>
      </c>
      <c r="M42" t="s">
        <v>116</v>
      </c>
    </row>
    <row r="43" spans="2:13" ht="15">
      <c r="B43" s="2" t="s">
        <v>117</v>
      </c>
      <c r="D43" s="60" t="s">
        <v>108</v>
      </c>
      <c r="E43" s="95">
        <v>0</v>
      </c>
      <c r="G43" s="100">
        <f>E43</f>
        <v>0</v>
      </c>
      <c r="H43" s="101"/>
      <c r="I43" s="101">
        <f>IF(($E$38&lt;$E$41-$E$43),($E$45*0.01*($E$41-$E$38)),0)</f>
        <v>42</v>
      </c>
      <c r="J43" s="102" t="s">
        <v>118</v>
      </c>
      <c r="L43" s="101">
        <f>IF(($G$38&lt;$G$41-$G$43),($G$45*0.01*($G$41-$G$38)),0)</f>
        <v>29.25</v>
      </c>
      <c r="M43" s="102" t="s">
        <v>118</v>
      </c>
    </row>
    <row r="44" spans="2:10" ht="15">
      <c r="B44" s="2" t="s">
        <v>119</v>
      </c>
      <c r="D44" s="60" t="s">
        <v>50</v>
      </c>
      <c r="E44" s="103">
        <f>IF(E38&gt;=E41,L15,0)</f>
        <v>0</v>
      </c>
      <c r="G44" s="103">
        <f>IF(G38&gt;=G41,L29,0)</f>
        <v>0</v>
      </c>
      <c r="H44" s="88"/>
      <c r="I44" s="101"/>
      <c r="J44" s="102"/>
    </row>
    <row r="45" spans="2:13" ht="15">
      <c r="B45" s="2" t="s">
        <v>120</v>
      </c>
      <c r="D45" s="60" t="s">
        <v>50</v>
      </c>
      <c r="E45" s="103">
        <f>IF(E38&lt;=E41,L15,0)</f>
        <v>21</v>
      </c>
      <c r="G45" s="103">
        <f>IF(G38&lt;=G41,L29,0)</f>
        <v>13</v>
      </c>
      <c r="H45" s="88"/>
      <c r="I45" s="78">
        <f>(I42+I43)</f>
        <v>42</v>
      </c>
      <c r="J45" t="s">
        <v>121</v>
      </c>
      <c r="L45" s="78">
        <f>(L42+L43)</f>
        <v>29.25</v>
      </c>
      <c r="M45" t="s">
        <v>121</v>
      </c>
    </row>
    <row r="46" spans="2:9" ht="15">
      <c r="B46" s="3" t="s">
        <v>122</v>
      </c>
      <c r="D46" s="104" t="s">
        <v>50</v>
      </c>
      <c r="E46" s="105">
        <f>I45</f>
        <v>42</v>
      </c>
      <c r="F46" s="106"/>
      <c r="G46" s="105">
        <f>L45</f>
        <v>29.25</v>
      </c>
      <c r="H46" s="77"/>
      <c r="I46" s="106" t="s">
        <v>123</v>
      </c>
    </row>
    <row r="47" spans="2:14" ht="15">
      <c r="B47" s="3" t="s">
        <v>124</v>
      </c>
      <c r="D47" s="104"/>
      <c r="E47" s="105"/>
      <c r="F47" s="106"/>
      <c r="I47" s="107">
        <v>0</v>
      </c>
      <c r="J47" s="108" t="s">
        <v>125</v>
      </c>
      <c r="L47" s="109" t="s">
        <v>126</v>
      </c>
      <c r="M47" s="88" t="s">
        <v>11</v>
      </c>
      <c r="N47" s="88"/>
    </row>
    <row r="48" spans="2:14" ht="15">
      <c r="B48" s="2" t="s">
        <v>127</v>
      </c>
      <c r="E48" s="110">
        <f>-I51</f>
        <v>0</v>
      </c>
      <c r="F48" s="88"/>
      <c r="G48" s="111">
        <f>E48</f>
        <v>0</v>
      </c>
      <c r="I48" s="112">
        <v>49000</v>
      </c>
      <c r="J48" s="108" t="s">
        <v>128</v>
      </c>
      <c r="M48" s="77"/>
      <c r="N48" s="77"/>
    </row>
    <row r="49" spans="2:14" ht="15">
      <c r="B49" s="113" t="s">
        <v>129</v>
      </c>
      <c r="C49" t="s">
        <v>1</v>
      </c>
      <c r="D49" s="110">
        <v>0</v>
      </c>
      <c r="E49" s="114">
        <f>(D49/(E38*0.01))</f>
        <v>0</v>
      </c>
      <c r="F49" s="88"/>
      <c r="G49" s="110">
        <v>0</v>
      </c>
      <c r="I49" s="112">
        <v>500</v>
      </c>
      <c r="J49" s="108" t="s">
        <v>130</v>
      </c>
      <c r="L49" s="11">
        <f>IF($G$38&lt;=450,$F$31,0)</f>
        <v>0</v>
      </c>
      <c r="M49" s="115">
        <v>450</v>
      </c>
      <c r="N49" s="77"/>
    </row>
    <row r="50" spans="2:13" ht="15">
      <c r="B50" s="2" t="s">
        <v>131</v>
      </c>
      <c r="E50" s="353"/>
      <c r="F50" s="88"/>
      <c r="G50" s="111">
        <f>-L57</f>
        <v>-12</v>
      </c>
      <c r="I50" s="116">
        <f>+I49*I47</f>
        <v>0</v>
      </c>
      <c r="J50" s="108" t="s">
        <v>132</v>
      </c>
      <c r="M50" s="115"/>
    </row>
    <row r="51" spans="2:13" ht="15">
      <c r="B51" s="77" t="s">
        <v>133</v>
      </c>
      <c r="E51" s="117">
        <f>SUM(E46:E50)</f>
        <v>42</v>
      </c>
      <c r="F51" s="88"/>
      <c r="G51" s="117">
        <f>SUM(G46:G50)</f>
        <v>17.25</v>
      </c>
      <c r="I51" s="118">
        <f>(I50/I48)*100</f>
        <v>0</v>
      </c>
      <c r="J51" s="108" t="s">
        <v>134</v>
      </c>
      <c r="L51" s="11">
        <f>IF(AND($G$38&gt;=451,$G$38&lt;=550),$F$32,0)</f>
        <v>12</v>
      </c>
      <c r="M51" s="115">
        <v>550</v>
      </c>
    </row>
    <row r="52" spans="2:13" ht="15">
      <c r="B52" s="2" t="s">
        <v>135</v>
      </c>
      <c r="D52" s="119" t="s">
        <v>50</v>
      </c>
      <c r="E52" s="120">
        <v>0</v>
      </c>
      <c r="F52" s="88"/>
      <c r="G52" s="120">
        <v>0</v>
      </c>
      <c r="M52" s="115"/>
    </row>
    <row r="53" spans="2:14" ht="15">
      <c r="B53" s="2" t="s">
        <v>136</v>
      </c>
      <c r="D53" s="119" t="s">
        <v>1</v>
      </c>
      <c r="E53" s="110">
        <v>1</v>
      </c>
      <c r="F53" s="88"/>
      <c r="G53" s="110">
        <v>1</v>
      </c>
      <c r="I53" s="116"/>
      <c r="J53" s="108"/>
      <c r="L53" s="11">
        <f>IF(AND($G$38&gt;=551,$G$38&lt;=650),$F$33,0)</f>
        <v>0</v>
      </c>
      <c r="M53" s="121">
        <v>650</v>
      </c>
      <c r="N53" s="86"/>
    </row>
    <row r="54" spans="2:14" ht="15">
      <c r="B54" s="2" t="s">
        <v>137</v>
      </c>
      <c r="D54" s="119" t="s">
        <v>50</v>
      </c>
      <c r="E54" s="122">
        <f>(E52+(E53/(E38*0.01)))</f>
        <v>0.18181818181818182</v>
      </c>
      <c r="F54" s="88"/>
      <c r="G54" s="122">
        <f>(G52+(G53/(G38*0.01)))</f>
        <v>0.19047619047619047</v>
      </c>
      <c r="M54" s="115"/>
      <c r="N54" s="76"/>
    </row>
    <row r="55" spans="2:14" ht="15">
      <c r="B55" s="245" t="s">
        <v>138</v>
      </c>
      <c r="C55" s="233"/>
      <c r="D55" s="278" t="s">
        <v>50</v>
      </c>
      <c r="E55" s="279">
        <f>E40+E51-E52-E54</f>
        <v>169.8181818181818</v>
      </c>
      <c r="F55" s="245" t="s">
        <v>139</v>
      </c>
      <c r="G55" s="280">
        <f>G40+G51-G52-G54</f>
        <v>145.0595238095238</v>
      </c>
      <c r="I55" s="123"/>
      <c r="J55" s="123"/>
      <c r="K55" s="123"/>
      <c r="L55" s="11">
        <f>IF(AND($G$38&gt;651),$F$34,0)</f>
        <v>0</v>
      </c>
      <c r="M55" s="115">
        <v>750</v>
      </c>
      <c r="N55" s="76"/>
    </row>
    <row r="56" spans="2:14" ht="15">
      <c r="B56" s="3"/>
      <c r="D56" s="104"/>
      <c r="E56" s="124"/>
      <c r="F56" s="88"/>
      <c r="I56" s="88"/>
      <c r="J56" s="84"/>
      <c r="K56" s="84"/>
      <c r="M56" s="80"/>
      <c r="N56" s="80"/>
    </row>
    <row r="57" spans="2:14" ht="15">
      <c r="B57" s="3" t="s">
        <v>140</v>
      </c>
      <c r="D57" s="104" t="s">
        <v>1</v>
      </c>
      <c r="E57" s="281">
        <f>E55*E38*0.01</f>
        <v>934</v>
      </c>
      <c r="F57" s="282" t="s">
        <v>139</v>
      </c>
      <c r="G57" s="281">
        <f>G55*G38*0.01</f>
        <v>761.5625</v>
      </c>
      <c r="I57" s="88"/>
      <c r="J57" s="84"/>
      <c r="K57" s="84"/>
      <c r="L57" s="85">
        <f>SUM(L49:L55)</f>
        <v>12</v>
      </c>
      <c r="M57" s="80"/>
      <c r="N57" s="80"/>
    </row>
    <row r="58" spans="2:14" ht="15">
      <c r="B58" s="3"/>
      <c r="D58" s="104"/>
      <c r="E58" s="125"/>
      <c r="F58" s="88"/>
      <c r="G58" s="125"/>
      <c r="I58" s="88"/>
      <c r="J58" s="84"/>
      <c r="K58" s="84"/>
      <c r="L58" s="85"/>
      <c r="M58" s="80"/>
      <c r="N58" s="80"/>
    </row>
    <row r="59" spans="2:12" ht="15">
      <c r="B59" s="231" t="s">
        <v>141</v>
      </c>
      <c r="C59" s="291"/>
      <c r="D59" s="291"/>
      <c r="E59" s="295" t="s">
        <v>1</v>
      </c>
      <c r="F59" s="296"/>
      <c r="G59" s="297">
        <f>E57-G57</f>
        <v>172.4375</v>
      </c>
      <c r="L59" s="77"/>
    </row>
    <row r="60" spans="2:12" ht="15">
      <c r="B60" s="3" t="s">
        <v>142</v>
      </c>
      <c r="E60" s="126"/>
      <c r="G60" s="127"/>
      <c r="L60" s="77"/>
    </row>
    <row r="61" spans="2:12" ht="15">
      <c r="B61" s="369" t="s">
        <v>143</v>
      </c>
      <c r="C61" s="370"/>
      <c r="D61" s="370"/>
      <c r="E61" s="370"/>
      <c r="F61" s="370"/>
      <c r="L61" s="77"/>
    </row>
    <row r="63" spans="2:7" ht="15">
      <c r="B63" s="77"/>
      <c r="D63" s="128"/>
      <c r="E63" s="129"/>
      <c r="F63" s="371"/>
      <c r="G63" s="372"/>
    </row>
    <row r="64" ht="15">
      <c r="F64" s="76"/>
    </row>
    <row r="65" spans="3:7" ht="15">
      <c r="C65" s="77"/>
      <c r="D65" s="76"/>
      <c r="E65" s="50"/>
      <c r="F65" s="76"/>
      <c r="G65" s="77"/>
    </row>
    <row r="66" spans="2:7" ht="15">
      <c r="B66" s="77"/>
      <c r="C66" s="77"/>
      <c r="D66" s="76"/>
      <c r="E66" s="50"/>
      <c r="F66" s="76"/>
      <c r="G66" s="77"/>
    </row>
    <row r="67" spans="2:7" ht="15">
      <c r="B67" s="77"/>
      <c r="C67" s="77"/>
      <c r="D67" s="130"/>
      <c r="E67" s="131"/>
      <c r="F67" s="131"/>
      <c r="G67" s="77"/>
    </row>
    <row r="68" spans="2:7" ht="15">
      <c r="B68" s="77"/>
      <c r="C68" s="77"/>
      <c r="D68" s="77"/>
      <c r="E68" s="3"/>
      <c r="F68" s="77"/>
      <c r="G68" s="77"/>
    </row>
    <row r="69" spans="2:7" ht="15">
      <c r="B69" s="77"/>
      <c r="C69" s="77"/>
      <c r="D69" s="130"/>
      <c r="E69" s="131"/>
      <c r="F69" s="131"/>
      <c r="G69" s="77"/>
    </row>
    <row r="70" spans="2:7" ht="15">
      <c r="B70" s="77"/>
      <c r="C70" s="77"/>
      <c r="D70" s="77"/>
      <c r="E70" s="3"/>
      <c r="F70" s="77"/>
      <c r="G70" s="77"/>
    </row>
  </sheetData>
  <sheetProtection sheet="1"/>
  <mergeCells count="3">
    <mergeCell ref="B61:F61"/>
    <mergeCell ref="F63:G63"/>
    <mergeCell ref="B1:I1"/>
  </mergeCells>
  <printOptions/>
  <pageMargins left="1" right="0.5" top="1" bottom="1" header="0.5" footer="0.5"/>
  <pageSetup fitToHeight="1" fitToWidth="1" horizontalDpi="600" verticalDpi="600" orientation="portrait" paperSize="9" scale="64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McGrann</dc:creator>
  <cp:keywords/>
  <dc:description/>
  <cp:lastModifiedBy>Amy Radunz</cp:lastModifiedBy>
  <cp:lastPrinted>2011-03-02T18:07:28Z</cp:lastPrinted>
  <dcterms:created xsi:type="dcterms:W3CDTF">2004-03-18T15:16:20Z</dcterms:created>
  <dcterms:modified xsi:type="dcterms:W3CDTF">2011-10-25T18:05:57Z</dcterms:modified>
  <cp:category/>
  <cp:version/>
  <cp:contentType/>
  <cp:contentStatus/>
</cp:coreProperties>
</file>