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5390" windowHeight="9090" activeTab="0"/>
  </bookViews>
  <sheets>
    <sheet name="English" sheetId="1" r:id="rId1"/>
    <sheet name="English (Metric Units)" sheetId="2" r:id="rId2"/>
    <sheet name="Espanol-(unidades Engles)" sheetId="3" r:id="rId3"/>
    <sheet name="Espanol - (unidades metricas)" sheetId="4" r:id="rId4"/>
  </sheets>
  <definedNames>
    <definedName name="_xlnm.Print_Area" localSheetId="0">'English'!$A$1:$E$75</definedName>
    <definedName name="_xlnm.Print_Area" localSheetId="2">'Espanol-(unidades Engles)'!$A$1:$E$61</definedName>
    <definedName name="Z_88C03D8C_5C4F_41E1_959A_BF38E8EFECF1_.wvu.PrintArea" localSheetId="0" hidden="1">'English'!$A$1:$E$75</definedName>
    <definedName name="Z_88C03D8C_5C4F_41E1_959A_BF38E8EFECF1_.wvu.PrintArea" localSheetId="2" hidden="1">'Espanol-(unidades Engles)'!$A$1:$E$61</definedName>
    <definedName name="Z_A84E93CB_2FC8_4047_BB17_334A3F05EDBA_.wvu.PrintArea" localSheetId="0" hidden="1">'English'!$A$1:$E$75</definedName>
    <definedName name="Z_A84E93CB_2FC8_4047_BB17_334A3F05EDBA_.wvu.PrintArea" localSheetId="2" hidden="1">'Espanol-(unidades Engles)'!$A$1:$E$61</definedName>
  </definedNames>
  <calcPr fullCalcOnLoad="1"/>
</workbook>
</file>

<file path=xl/sharedStrings.xml><?xml version="1.0" encoding="utf-8"?>
<sst xmlns="http://schemas.openxmlformats.org/spreadsheetml/2006/main" count="380" uniqueCount="255">
  <si>
    <t>=</t>
  </si>
  <si>
    <t>Number Of Piles</t>
  </si>
  <si>
    <t>T DM</t>
  </si>
  <si>
    <t>Storage Pad Length (feet) =</t>
  </si>
  <si>
    <t>Storage Pad Width (feet) =</t>
  </si>
  <si>
    <t>Storage Pad Area (Sq. Feet) =</t>
  </si>
  <si>
    <t>Storage Pad Capital Cost ($) =</t>
  </si>
  <si>
    <t>Radius of silage dome. (ft)</t>
  </si>
  <si>
    <t>Cross section area (sq ft) of silage in the silage dome.</t>
  </si>
  <si>
    <t>Radius minus Dome Height (ft) =</t>
  </si>
  <si>
    <t>Calculated Total Volume (cu. feet) =</t>
  </si>
  <si>
    <t>Calculated Volume per Pile (cu. feet/pile) =</t>
  </si>
  <si>
    <t>Calculated Total Weight (lbs DM)=</t>
  </si>
  <si>
    <t>Calculated Total Weight (lbs Silage AF)=</t>
  </si>
  <si>
    <t>T AF</t>
  </si>
  <si>
    <t>Silage Average Moisture Content (%) (60-75% is Typical)=</t>
  </si>
  <si>
    <t>Storage Pad Buffer On Each Side Of Pad (&gt;10 Feet) =</t>
  </si>
  <si>
    <t>Distance Between Silage Piles (&gt;6 feet) =</t>
  </si>
  <si>
    <t>Brian J. Holmes</t>
  </si>
  <si>
    <t>Biological Systems Engineering Dept.</t>
  </si>
  <si>
    <t>University of Wisconsin - Madison</t>
  </si>
  <si>
    <t>608-262-0096   bjholmes@facstaff.wisc.edu</t>
  </si>
  <si>
    <r>
      <t>Orange</t>
    </r>
    <r>
      <rPr>
        <sz val="10"/>
        <rFont val="Arial"/>
        <family val="0"/>
      </rPr>
      <t xml:space="preserve"> or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numbers are calculated outputs</t>
    </r>
  </si>
  <si>
    <r>
      <t xml:space="preserve">Enter values in cells with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numbers </t>
    </r>
  </si>
  <si>
    <r>
      <t>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yellow</t>
    </r>
    <r>
      <rPr>
        <sz val="10"/>
        <rFont val="Arial"/>
        <family val="0"/>
      </rPr>
      <t xml:space="preserve"> background</t>
    </r>
  </si>
  <si>
    <t>This spreadsheet calculates the contents of existing piles of silage.</t>
  </si>
  <si>
    <t>Bottom Width of Each Pile (feet) =</t>
  </si>
  <si>
    <t>Calculated  Weight per Pile (lbs Silage AF/pile)=</t>
  </si>
  <si>
    <t>Calculated  Weight per Pile (lbs DM/pile)=</t>
  </si>
  <si>
    <t>Dry Matter Density (&gt;14 lbs DM/cu ft Preferred)=</t>
  </si>
  <si>
    <t>Approximate Pile Total Top Surface Area (sq ft/pile) =</t>
  </si>
  <si>
    <t>Use Ken Barnett's "Silage Pile Dimension Calculator" spreadsheet  to size silage piles.</t>
  </si>
  <si>
    <r>
      <t>Do</t>
    </r>
    <r>
      <rPr>
        <b/>
        <sz val="10"/>
        <color indexed="10"/>
        <rFont val="Arial"/>
        <family val="2"/>
      </rPr>
      <t xml:space="preserve"> NOT </t>
    </r>
    <r>
      <rPr>
        <b/>
        <sz val="10"/>
        <rFont val="Arial"/>
        <family val="2"/>
      </rPr>
      <t xml:space="preserve">use to size a silage pile. </t>
    </r>
  </si>
  <si>
    <t>Length of top/mounded surface (ft) =</t>
  </si>
  <si>
    <t>Top Area (sq ft) =</t>
  </si>
  <si>
    <r>
      <t xml:space="preserve">        </t>
    </r>
    <r>
      <rPr>
        <sz val="10"/>
        <color indexed="10"/>
        <rFont val="Arial"/>
        <family val="2"/>
      </rPr>
      <t>Use Dome Height = 0.01 when silage is level on top</t>
    </r>
    <r>
      <rPr>
        <sz val="10"/>
        <rFont val="Arial"/>
        <family val="0"/>
      </rPr>
      <t>.</t>
    </r>
  </si>
  <si>
    <t>Revised</t>
  </si>
  <si>
    <t>Silage Pile Capacity &amp; Capital Cost Calculator</t>
  </si>
  <si>
    <t xml:space="preserve">Dome Height of silage above Pile Depth. Maximum silage height minus Pile Depth (ft).= </t>
  </si>
  <si>
    <t>Filling Ramp Length(ft) is the horizontal length of the silage filing ramp =</t>
  </si>
  <si>
    <t>Back of Silage Pile Ramp horizontal length(ft) =</t>
  </si>
  <si>
    <t>Pile Depth-Measured from Ground to Bottom of Silage Dome(ft) =</t>
  </si>
  <si>
    <t>Top Width Measured at Bottom of Silage Dome (feet) =</t>
  </si>
  <si>
    <t>Black numbers with green cell background are intermediate calculated values.</t>
  </si>
  <si>
    <r>
      <t xml:space="preserve">Entrar valores en las celdas con números </t>
    </r>
    <r>
      <rPr>
        <b/>
        <sz val="10"/>
        <color indexed="12"/>
        <rFont val="Arial"/>
        <family val="2"/>
      </rPr>
      <t>azules</t>
    </r>
  </si>
  <si>
    <r>
      <t>sobre fondo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amarillo</t>
    </r>
  </si>
  <si>
    <r>
      <rPr>
        <sz val="10"/>
        <rFont val="Arial"/>
        <family val="0"/>
      </rPr>
      <t>Números</t>
    </r>
    <r>
      <rPr>
        <b/>
        <sz val="10"/>
        <color indexed="53"/>
        <rFont val="Arial"/>
        <family val="2"/>
      </rPr>
      <t xml:space="preserve"> naranjas 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rojos</t>
    </r>
    <r>
      <rPr>
        <sz val="10"/>
        <rFont val="Arial"/>
        <family val="0"/>
      </rPr>
      <t xml:space="preserve"> son cálculos efectuados</t>
    </r>
  </si>
  <si>
    <t>Los números negros con celdas en fondo verde son valores calculados intermedios</t>
  </si>
  <si>
    <t>Revisado</t>
  </si>
  <si>
    <t>Contenido promedio de humedad del ensilado (%) (60-75% es típico)=</t>
  </si>
  <si>
    <r>
      <t xml:space="preserve">        </t>
    </r>
    <r>
      <rPr>
        <sz val="10"/>
        <color indexed="10"/>
        <rFont val="Arial"/>
        <family val="0"/>
      </rPr>
      <t>Utilice la altura de la cúpula</t>
    </r>
    <r>
      <rPr>
        <sz val="10"/>
        <color indexed="10"/>
        <rFont val="Arial"/>
        <family val="0"/>
      </rPr>
      <t xml:space="preserve"> = 0.01cuando el ensilado tiene la parte superior nivelada</t>
    </r>
  </si>
  <si>
    <t>Peso calculado total (lbs ensilado AF)=</t>
  </si>
  <si>
    <t>Largo de la superficie de almacenamiento (pies) =</t>
  </si>
  <si>
    <t>Ancho de la superficie de almacenamiento (pies) =</t>
  </si>
  <si>
    <t>Costo del capital de la superficie de almacenamiento ($) =</t>
  </si>
  <si>
    <t>Radio de la cúpula del ensilado. (pies)</t>
  </si>
  <si>
    <t>Radio menos la altura de la cúpula (pies) =</t>
  </si>
  <si>
    <t>Volume of Rectangle below Dome (cu ft) =</t>
  </si>
  <si>
    <t>Volume of side slopes as part of core (cu ft) =</t>
  </si>
  <si>
    <t>Volume Filling Ramp Slope at core (cu ft) =</t>
  </si>
  <si>
    <t>Volume Back End Ramp Slope at core (cu ft) =</t>
  </si>
  <si>
    <t>Volume of Filling End Corners (cu ft) =</t>
  </si>
  <si>
    <t>Volume of Back End Corners (cu ft) =</t>
  </si>
  <si>
    <t xml:space="preserve">Front Ramp Slope = </t>
  </si>
  <si>
    <t>Back Ramp Slope =</t>
  </si>
  <si>
    <t>Dome Top Length (feet) =</t>
  </si>
  <si>
    <t>Dome Average Length (feet) =</t>
  </si>
  <si>
    <t>Volume of Dome (cu ft) =</t>
  </si>
  <si>
    <t>TOTAL VOLUME (cu ft) =</t>
  </si>
  <si>
    <t>=====================================================================================================================</t>
  </si>
  <si>
    <t>Length of Filling Corner on the ground (ft) =</t>
  </si>
  <si>
    <t>Length of Filling Slope (ft) =</t>
  </si>
  <si>
    <t>Length of Filling Corner side slope (ft) =</t>
  </si>
  <si>
    <t>Surface area of Filling End Corners (sq ft) =</t>
  </si>
  <si>
    <t>Length of Back Corner on the ground (ft) =</t>
  </si>
  <si>
    <t>Length of Back Slope (ft) =</t>
  </si>
  <si>
    <t>Length of Back Corner side slope (ft) =</t>
  </si>
  <si>
    <t>Surface Area of Back End Corners (sq ft) =</t>
  </si>
  <si>
    <t>Surface Area of Core Long Sides (sq ft) =</t>
  </si>
  <si>
    <t>Surface Area of Filling Ramp (sq ft) =</t>
  </si>
  <si>
    <t>Surface Area of Back Ramp (sq ft) =</t>
  </si>
  <si>
    <t>====================================================================================================================</t>
  </si>
  <si>
    <t>Estimate of Total Top Surface Area (sq ft) =</t>
  </si>
  <si>
    <t>Pile Bottom Length Exclusive of Front and Back Ramps (feet)=</t>
  </si>
  <si>
    <t>Storage Pad Buffer Beyond Back End Of Piles (&gt;10 Feet) =</t>
  </si>
  <si>
    <t>Filling Apron Width (front of pile to edge of pad (40 ft) =</t>
  </si>
  <si>
    <t>pies</t>
  </si>
  <si>
    <t>Peso calculado total (lbs MS)=</t>
  </si>
  <si>
    <t>Peso calculado total (kg ensilado AF)=</t>
  </si>
  <si>
    <t>Approximate Total Top Surface Area (sq ft) =</t>
  </si>
  <si>
    <t>Largo de la superficie de almacenamiento (metros) =</t>
  </si>
  <si>
    <t>Ancho de la superficie de almacenamiento (metros) =</t>
  </si>
  <si>
    <t>Radio de la cúpula del ensilado. (metros)</t>
  </si>
  <si>
    <t>Radio menos la altura de la cúpula (metros) =</t>
  </si>
  <si>
    <t>metros</t>
  </si>
  <si>
    <t>Peso calculado total (kg MS)=</t>
  </si>
  <si>
    <t>t MS</t>
  </si>
  <si>
    <t>t AF</t>
  </si>
  <si>
    <t>==========================================================================================================================================</t>
  </si>
  <si>
    <t>Numero de montículos</t>
  </si>
  <si>
    <t>Área de la superficie de almacenamiento (metros cuadrados) =</t>
  </si>
  <si>
    <t>Área total aproximada de la superficie del tope (metros cuadrados) =</t>
  </si>
  <si>
    <t>Volumen calculado total (metros cubcúbicos) =</t>
  </si>
  <si>
    <t>608-262-0096   bjholmes@wisc.edu</t>
  </si>
  <si>
    <t>Densidad de Materia Seca (&gt;224 kg MS/m cubcúbicos preferido.)=</t>
  </si>
  <si>
    <t>Capacidad del montículo de ensilado y Calculo del costo de capital</t>
  </si>
  <si>
    <t>Esta planilla calcula la cantidad de ensilado existente en los montículos</t>
  </si>
  <si>
    <t>Utilice la hoja de Ken Barnett "Cálculo de la dimensión del montículo de ensilado" para medir el tamaño de los montículos de ensilado</t>
  </si>
  <si>
    <t>Largo de la parte de abajo del montículo especificamente la rampa de enfrente y posterior (plataformas frontales y posteriores) (metros) =</t>
  </si>
  <si>
    <t>Largo horizontal de la parte posterior de la plataforma del montículo de ensilado (metros) =</t>
  </si>
  <si>
    <t>Largo de la plataforma de llenado (metros) es el largo horizontal de la plataforma de llenado del ensilado=</t>
  </si>
  <si>
    <t>Ancho de la base de cada montículo (metros) =</t>
  </si>
  <si>
    <t>Profundidad del montículo- Medido desde el piso hasta la cúpula o parte mas alta del ensilado (metros) =</t>
  </si>
  <si>
    <t xml:space="preserve">Altura de la cúpula del ensilado arriba de la Profundidad del montículo. Altura máxima del ensilado menos la Profundidad del montículo (metros).= </t>
  </si>
  <si>
    <t>Ancho del tope medido desde la parte de abajo (en la base) de la cúpula del ensilado (metros) =</t>
  </si>
  <si>
    <t>Zona de almacenaje de protección mas allá del final de los montículos (&gt;3 metros) =</t>
  </si>
  <si>
    <r>
      <t>Ancho del area de llenado (de la parte delantera al límite posterior del montículo)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(12.2 metros) =</t>
    </r>
  </si>
  <si>
    <t>Zona de almacenaje de protección en cada lado (&gt;3 metros) =</t>
  </si>
  <si>
    <t>Distancia entre los montículos de ensilado (&gt;2 metros) =</t>
  </si>
  <si>
    <t>Costo del almacenamiento ($35.00/metros cuadrados) =</t>
  </si>
  <si>
    <t>Volumen calculado por montículo (metros cubcúbicos/montículo) =</t>
  </si>
  <si>
    <t>Peso calculado por montículo (kg MS/montículo)=</t>
  </si>
  <si>
    <t>Peso calculado por montículo (kg ensilado AF/montículo)=</t>
  </si>
  <si>
    <t>Área total aproximada de la superficie del tope del montículo (metros cuadrados/montículo) =</t>
  </si>
  <si>
    <t>Seccion transversal del area  ( metros cuadrados) en la cúpula del ensilado</t>
  </si>
  <si>
    <t xml:space="preserve">Pendiente de la plataforma frontal  = </t>
  </si>
  <si>
    <t>Pendiente de la plataforma posterior  =</t>
  </si>
  <si>
    <t>Largo de la parte superior de la Cúpula (metros) =</t>
  </si>
  <si>
    <t>Largo Promedio de la Cúpula (metros) =</t>
  </si>
  <si>
    <t>Volumen del Rectángulo abajo de la Cúpula  ( metros cúbicos) =</t>
  </si>
  <si>
    <t>Volumen de las pendientes laterales que son parte de la base principal  (metros cúbicos) =</t>
  </si>
  <si>
    <t>Volumen de la Pendiente de la Plataforma de Llenado a la base principal  (metros cúbicos) =</t>
  </si>
  <si>
    <t>Volumen de la Pendiente de la plataforma posterior a la base principal  (metros cúbicos) =</t>
  </si>
  <si>
    <t>Volumen de Llenado de las Esquinas  (metros cúbicos) =</t>
  </si>
  <si>
    <t>Volumen de las Esquinas de la Parte Posterior  (metros cúbicos) =</t>
  </si>
  <si>
    <t>Volumen de la Cúpula  (metros cúbicos) =</t>
  </si>
  <si>
    <t>VOLUMEN TOTAL ( metros cúbicos) =</t>
  </si>
  <si>
    <t>Largo de la Esquina de Llenado a nivel del piso (metros) =</t>
  </si>
  <si>
    <t>Largo de la Pendiente de Llenado  (metros) =</t>
  </si>
  <si>
    <r>
      <t xml:space="preserve">Largo de la pendiente lateral de la Esquina de Llenado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(metros) =</t>
    </r>
  </si>
  <si>
    <t>Area de Llenado de las Esquinas  (metros cuadrados) =</t>
  </si>
  <si>
    <r>
      <t>Largo de la Esquina posterior a nivel del piso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(metros) =</t>
    </r>
  </si>
  <si>
    <t>Largo de la Pendiente Posterior  (metros) =</t>
  </si>
  <si>
    <t>Largo de la pendiente lateral de la Esquina Posterior (metros) =</t>
  </si>
  <si>
    <t>Area de las Esquinas Posteriores  (metros cuadrados) =</t>
  </si>
  <si>
    <t>Area del largo de los Lados de la Base Principal  (metros cuadrados) =</t>
  </si>
  <si>
    <t>Area de la Plataforma de Llenado  (metros cuadrados) =</t>
  </si>
  <si>
    <t>Area de la Plataforma Posterior  (metros cuadrados) =</t>
  </si>
  <si>
    <t>Largo de la parte alta/area del montículo (metros) =</t>
  </si>
  <si>
    <t>Area de la parte alta (metros cuadrados) =</t>
  </si>
  <si>
    <t>Estimado del Area Total de la Parte Alta  (metros cuadrados) =</t>
  </si>
  <si>
    <t>Densidad de Materia Seca (&gt;14 lbs MS/pies cubcúbicos preferido.)=</t>
  </si>
  <si>
    <t>Largo de la parte de abajo del montículo especificamente la rampa de enfrente y posterior (plataformas frontales y posteriores) (pies) =</t>
  </si>
  <si>
    <t>Largo de la plataforma de llenado (pies) es el largo horizontal de la plataforma de llenado del ensilado=</t>
  </si>
  <si>
    <t>Largo horizontal de la parte posterior de la plataforma del montículo de ensilado (pies) =</t>
  </si>
  <si>
    <t>Ancho de la base de cada montículo (pies) =</t>
  </si>
  <si>
    <t>Profundidad del montículo- Medido desde el piso hasta la cúpula o parte mas alta del ensilado (pies) =</t>
  </si>
  <si>
    <t xml:space="preserve">Altura de la cúpula del ensilado arriba de la Profundidad del montículo. Altura máxima del ensilado menos la Profundidad del montículo (pies).= </t>
  </si>
  <si>
    <t>Ancho del tope medido desde la parte de abajo (en la base) de la cúpula del ensilado (pies) =</t>
  </si>
  <si>
    <t>Zona de almacenaje de protección mas allá del final de los montículos (&gt;10 pies ) =</t>
  </si>
  <si>
    <r>
      <t>Ancho del area de llenado (de la parte delantera al límite posterior del montículo)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(40 pies) =</t>
    </r>
  </si>
  <si>
    <t>Zona de almacenaje de protección en cada lado (&gt;10 pies) =</t>
  </si>
  <si>
    <t>Distancia entre los montículos de ensilado (&gt;6 pies) =</t>
  </si>
  <si>
    <t>Storage Pad Cost($3.00 /sq ft) =</t>
  </si>
  <si>
    <t>Costo del almacenamiento ($3.00/pies cuadrados) =</t>
  </si>
  <si>
    <t>Volumen calculado por montículo (pies cubcúbicos/montículo) =</t>
  </si>
  <si>
    <t>Volumen calculado total (pies cubcúbicos) =</t>
  </si>
  <si>
    <t>Peso calculado por montículo (lbs MS/montículo)=</t>
  </si>
  <si>
    <t>Peso calculado por montículo (lbs ensilado AF/montículo)=</t>
  </si>
  <si>
    <t>Área total aproximada de la superficie del tope del montículo (pies cuadrados/montículo) =</t>
  </si>
  <si>
    <t>Área total aproximada de la superficie del tope (pies cuadrados) =</t>
  </si>
  <si>
    <t>Área de la superficie de almacenamiento (pies cuadrados) =</t>
  </si>
  <si>
    <t>Seccion transversal del area  ( pies cuadrados) en la cúpula del ensilado</t>
  </si>
  <si>
    <t>Largo de la parte superior de la Cúpula (pies) =</t>
  </si>
  <si>
    <t>Largo Promedio de la Cúpula (pies) =</t>
  </si>
  <si>
    <t>Volumen del Rectángulo abajo de la Cúpula  ( pies cúbicos) =</t>
  </si>
  <si>
    <t>Volumen de las pendientes laterales que son parte de la base principal  (pies cúbicos) =</t>
  </si>
  <si>
    <t>Volumen de la Pendiente de la Plataforma de Llenado a la base principal  (pies cúbicos) =</t>
  </si>
  <si>
    <t>Volumen de la Pendiente de la plataforma posterior a la base principal  (pies cúbicos) =</t>
  </si>
  <si>
    <t>Volumen de Llenado de las Esquinas  (pies cúbicos) =</t>
  </si>
  <si>
    <t>Volumen de las Esquinas de la Parte Posterior  (pies cúbicos) =</t>
  </si>
  <si>
    <t>Volumen de la Cúpula  (pies cúbicos) =</t>
  </si>
  <si>
    <t>VOLUMEN TOTAL ( pies cúbicos) =</t>
  </si>
  <si>
    <t>Largo de la Esquina de Llenado a nivel del piso (pies) =</t>
  </si>
  <si>
    <t>Largo de la Pendiente de Llenado  (pies) =</t>
  </si>
  <si>
    <r>
      <t xml:space="preserve">Largo de la pendiente lateral de la Esquina de Llenado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(pies) =</t>
    </r>
  </si>
  <si>
    <t>Area de Llenado de las Esquinas  (pies cuadrados) =</t>
  </si>
  <si>
    <r>
      <t>Largo de la Esquina posterior a nivel del piso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(pies) =</t>
    </r>
  </si>
  <si>
    <t>Largo de la Pendiente Posterior  (pies) =</t>
  </si>
  <si>
    <t>Largo de la pendiente lateral de la Esquina Posterior (pies) =</t>
  </si>
  <si>
    <t>Area de las Esquinas Posteriores  (pies cuadrados) =</t>
  </si>
  <si>
    <t>Area del largo de los Lados de la Base Principal  (pies cuadrados) =</t>
  </si>
  <si>
    <t>Area de la Plataforma de Llenado  (pies cuadrados) =</t>
  </si>
  <si>
    <t>Area de la Plataforma Posterior  (pies cuadrados) =</t>
  </si>
  <si>
    <t>Largo de la parte alta/area del montículo (pies) =</t>
  </si>
  <si>
    <t>Area de la parte alta (pies cuadrados) =</t>
  </si>
  <si>
    <t>Estimado del Area Total de la Parte Alta  (pies cuadrados) =</t>
  </si>
  <si>
    <t>===========================================================================================================================</t>
  </si>
  <si>
    <t>=========================================================================================================================</t>
  </si>
  <si>
    <r>
      <rPr>
        <b/>
        <sz val="10"/>
        <color indexed="10"/>
        <rFont val="Arial"/>
        <family val="2"/>
      </rPr>
      <t>NO utilizar</t>
    </r>
    <r>
      <rPr>
        <b/>
        <sz val="10"/>
        <rFont val="Arial"/>
        <family val="2"/>
      </rPr>
      <t xml:space="preserve"> para medir el tamaño de un montículo de ensilado</t>
    </r>
  </si>
  <si>
    <t>m</t>
  </si>
  <si>
    <t>ft</t>
  </si>
  <si>
    <t>Dry Matter Density (&gt;224 Kg DM/cu m Preferred)=</t>
  </si>
  <si>
    <t>Pile Bottom Length Exclusive of Front and Back Ramps (meters)=</t>
  </si>
  <si>
    <t>Filling Ramp Length(meters) is the horizontal length of the silage filing ramp =</t>
  </si>
  <si>
    <t>Back of Silage Pile Ramp horizontal length(meters) =</t>
  </si>
  <si>
    <t>Bottom Width of Each Pile (meters) =</t>
  </si>
  <si>
    <t>Pile Depth-Measured from Ground to Bottom of Silage Dome(meters) =</t>
  </si>
  <si>
    <t xml:space="preserve">Dome Height of silage above Pile Depth. Maximum silage height minus Pile Depth (meters).= </t>
  </si>
  <si>
    <t>Top Width Measured at Bottom of Silage Dome (meters) =</t>
  </si>
  <si>
    <t>Storage Pad Buffer Beyond Back End Of Piles (&gt; 3 meters) =</t>
  </si>
  <si>
    <t>Filling Apron Width (front of pile to edge of pad (12.2 meters) =</t>
  </si>
  <si>
    <t>Storage Pad Buffer On Each Side Of Pad (&gt; 3 m meters) =</t>
  </si>
  <si>
    <t>Distance Between Silage Piles (&gt; 1.8 meters) =</t>
  </si>
  <si>
    <t>Storage Pad Cost($32.00 /sq meter) =</t>
  </si>
  <si>
    <t>Calculated Volume per Pile (cu. meters/pile) =</t>
  </si>
  <si>
    <t>Radius of silage dome. (meters)</t>
  </si>
  <si>
    <t>Radius minus Dome Height (meters) =</t>
  </si>
  <si>
    <t>Cross section area (sq meters) of silage in the silage dome.</t>
  </si>
  <si>
    <t>Dome Top Length (meters) =</t>
  </si>
  <si>
    <t>Dome Average Length (meters) =</t>
  </si>
  <si>
    <t>Volume of Rectangle below Dome (cu meters) =</t>
  </si>
  <si>
    <t>Volume of side slopes as part of core (cu meters) =</t>
  </si>
  <si>
    <t>Volume Filling Ramp Slope at core (cu meters) =</t>
  </si>
  <si>
    <t>Volume Back End Ramp Slope at core (cu meters) =</t>
  </si>
  <si>
    <t>Volume of Filling End Corners (cu meters) =</t>
  </si>
  <si>
    <t>Volume of Back End Corners (cu meters) =</t>
  </si>
  <si>
    <t>Volume of Dome (cu meters) =</t>
  </si>
  <si>
    <t>Length of Filling Corner on the ground (meters) =</t>
  </si>
  <si>
    <t>Length of Filling Slope (meters) =</t>
  </si>
  <si>
    <t>Length of Filling Corner side slope (meters) =</t>
  </si>
  <si>
    <t>Surface area of Filling End Corners (sq meters) =</t>
  </si>
  <si>
    <t>Length of Back Corner on the ground (meters) =</t>
  </si>
  <si>
    <t>Length of Back Slope (meters) =</t>
  </si>
  <si>
    <t>Length of Back Corner side slope (meters) =</t>
  </si>
  <si>
    <t>Surface Area of Back End Corners (sq meters) =</t>
  </si>
  <si>
    <t>Surface Area of Core Long Sides (sq meters) =</t>
  </si>
  <si>
    <t>Surface Area of Filling Ramp (sq meters) =</t>
  </si>
  <si>
    <t>Surface Area of Back Ramp (sq meters) =</t>
  </si>
  <si>
    <t>Length of top/mounded surface (meters) =</t>
  </si>
  <si>
    <t>Top Area (sq meters) =</t>
  </si>
  <si>
    <t>Estimate of Total Top Surface Area (sq meters) =</t>
  </si>
  <si>
    <t>Calculated Total Volume (cu. meters) =</t>
  </si>
  <si>
    <t>Calculated  Weight per Pile (Kg DM/pile)=</t>
  </si>
  <si>
    <t>Calculated Total Weight (Kg DM)=</t>
  </si>
  <si>
    <t>Calculated  Weight per Pile (Kg Silage AF/pile)=</t>
  </si>
  <si>
    <t>Calculated Total Weight (Kg Silage AF)=</t>
  </si>
  <si>
    <t>Approximate Pile Total Top Surface Area (sq meters/pile) =</t>
  </si>
  <si>
    <t>Approximate Total Top Surface Area (sq meters) =</t>
  </si>
  <si>
    <t>Storage Pad Length (meters) =</t>
  </si>
  <si>
    <t>Storage Pad Width (meters) =</t>
  </si>
  <si>
    <t>Storage Pad Area (sq. meters) =</t>
  </si>
  <si>
    <t>t DM</t>
  </si>
  <si>
    <t>TOTAL VOLUME (cu meters) =</t>
  </si>
  <si>
    <t>Revised to include Metric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</si>
</sst>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mmmm\ d\,\ yyyy"/>
    <numFmt numFmtId="168" formatCode="#,##0.0"/>
    <numFmt numFmtId="169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Helv"/>
      <family val="0"/>
    </font>
    <font>
      <sz val="12"/>
      <color indexed="12"/>
      <name val="Helv"/>
      <family val="0"/>
    </font>
    <font>
      <b/>
      <sz val="12"/>
      <color indexed="10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2"/>
      <color indexed="53"/>
      <name val="Helv"/>
      <family val="0"/>
    </font>
    <font>
      <b/>
      <sz val="12"/>
      <color indexed="53"/>
      <name val="Arial"/>
      <family val="0"/>
    </font>
    <font>
      <b/>
      <sz val="12"/>
      <name val="Arial"/>
      <family val="2"/>
    </font>
    <font>
      <strike/>
      <sz val="10"/>
      <name val="Arial"/>
      <family val="2"/>
    </font>
    <font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6600"/>
      <name val="Arial"/>
      <family val="2"/>
    </font>
    <font>
      <b/>
      <sz val="12"/>
      <color rgb="FFFF33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fill"/>
      <protection/>
    </xf>
    <xf numFmtId="0" fontId="0" fillId="33" borderId="0" xfId="0" applyFill="1" applyAlignment="1">
      <alignment/>
    </xf>
    <xf numFmtId="3" fontId="10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34" borderId="0" xfId="0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applyProtection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Alignment="1" quotePrefix="1">
      <alignment/>
    </xf>
    <xf numFmtId="3" fontId="5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0" fontId="14" fillId="3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66" fontId="14" fillId="39" borderId="0" xfId="0" applyNumberFormat="1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51" fillId="0" borderId="0" xfId="0" applyNumberFormat="1" applyFont="1" applyAlignment="1" applyProtection="1">
      <alignment/>
      <protection/>
    </xf>
    <xf numFmtId="2" fontId="0" fillId="34" borderId="0" xfId="0" applyNumberFormat="1" applyFont="1" applyFill="1" applyAlignment="1" applyProtection="1">
      <alignment/>
      <protection/>
    </xf>
    <xf numFmtId="2" fontId="0" fillId="34" borderId="0" xfId="0" applyNumberFormat="1" applyFont="1" applyFill="1" applyAlignment="1" applyProtection="1">
      <alignment horizontal="right"/>
      <protection/>
    </xf>
    <xf numFmtId="4" fontId="0" fillId="34" borderId="0" xfId="0" applyNumberFormat="1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3" fontId="0" fillId="38" borderId="0" xfId="0" applyNumberFormat="1" applyFont="1" applyFill="1" applyAlignment="1" applyProtection="1">
      <alignment/>
      <protection/>
    </xf>
    <xf numFmtId="3" fontId="52" fillId="0" borderId="0" xfId="0" applyNumberFormat="1" applyFont="1" applyFill="1" applyAlignment="1" applyProtection="1">
      <alignment/>
      <protection/>
    </xf>
    <xf numFmtId="168" fontId="32" fillId="38" borderId="0" xfId="47" applyNumberFormat="1" applyFont="1" applyFill="1" applyAlignment="1" applyProtection="1">
      <alignment/>
      <protection/>
    </xf>
    <xf numFmtId="165" fontId="12" fillId="38" borderId="0" xfId="47" applyNumberFormat="1" applyFont="1" applyFill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12" fillId="38" borderId="0" xfId="47" applyNumberFormat="1" applyFont="1" applyFill="1" applyAlignment="1" applyProtection="1">
      <alignment/>
      <protection/>
    </xf>
    <xf numFmtId="4" fontId="12" fillId="38" borderId="0" xfId="0" applyNumberFormat="1" applyFont="1" applyFill="1" applyAlignment="1" applyProtection="1">
      <alignment/>
      <protection/>
    </xf>
    <xf numFmtId="168" fontId="0" fillId="34" borderId="0" xfId="0" applyNumberFormat="1" applyFont="1" applyFill="1" applyAlignment="1" applyProtection="1">
      <alignment/>
      <protection/>
    </xf>
    <xf numFmtId="168" fontId="12" fillId="38" borderId="0" xfId="0" applyNumberFormat="1" applyFont="1" applyFill="1" applyAlignment="1" applyProtection="1">
      <alignment/>
      <protection/>
    </xf>
    <xf numFmtId="168" fontId="0" fillId="34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" fontId="0" fillId="38" borderId="0" xfId="0" applyNumberFormat="1" applyFont="1" applyFill="1" applyAlignment="1" applyProtection="1">
      <alignment/>
      <protection/>
    </xf>
    <xf numFmtId="3" fontId="52" fillId="0" borderId="0" xfId="0" applyNumberFormat="1" applyFont="1" applyAlignment="1" applyProtection="1">
      <alignment/>
      <protection/>
    </xf>
    <xf numFmtId="168" fontId="34" fillId="38" borderId="0" xfId="47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fill"/>
      <protection/>
    </xf>
    <xf numFmtId="169" fontId="0" fillId="38" borderId="0" xfId="0" applyNumberFormat="1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47625</xdr:rowOff>
    </xdr:from>
    <xdr:to>
      <xdr:col>19</xdr:col>
      <xdr:colOff>161925</xdr:colOff>
      <xdr:row>36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296150" y="295275"/>
          <a:ext cx="6581775" cy="6400800"/>
          <a:chOff x="-9" y="144"/>
          <a:chExt cx="5673" cy="412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512" y="2976"/>
            <a:ext cx="576" cy="768"/>
          </a:xfrm>
          <a:custGeom>
            <a:pathLst>
              <a:path h="768" w="576">
                <a:moveTo>
                  <a:pt x="0" y="48"/>
                </a:moveTo>
                <a:lnTo>
                  <a:pt x="0" y="576"/>
                </a:lnTo>
                <a:lnTo>
                  <a:pt x="576" y="768"/>
                </a:lnTo>
                <a:lnTo>
                  <a:pt x="576" y="192"/>
                </a:lnTo>
                <a:lnTo>
                  <a:pt x="480" y="96"/>
                </a:lnTo>
                <a:lnTo>
                  <a:pt x="384" y="48"/>
                </a:lnTo>
                <a:lnTo>
                  <a:pt x="240" y="0"/>
                </a:lnTo>
                <a:lnTo>
                  <a:pt x="96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-9" y="144"/>
            <a:ext cx="5673" cy="4126"/>
          </a:xfrm>
          <a:custGeom>
            <a:pathLst>
              <a:path h="4126" w="5673">
                <a:moveTo>
                  <a:pt x="0" y="3339"/>
                </a:moveTo>
                <a:lnTo>
                  <a:pt x="2985" y="0"/>
                </a:lnTo>
                <a:lnTo>
                  <a:pt x="5673" y="720"/>
                </a:lnTo>
                <a:lnTo>
                  <a:pt x="2779" y="4126"/>
                </a:lnTo>
                <a:lnTo>
                  <a:pt x="0" y="3339"/>
                </a:ln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960" y="713"/>
            <a:ext cx="3814" cy="3079"/>
          </a:xfrm>
          <a:custGeom>
            <a:pathLst>
              <a:path h="3079" w="3813">
                <a:moveTo>
                  <a:pt x="0" y="2647"/>
                </a:moveTo>
                <a:lnTo>
                  <a:pt x="2331" y="0"/>
                </a:lnTo>
                <a:lnTo>
                  <a:pt x="3813" y="366"/>
                </a:lnTo>
                <a:lnTo>
                  <a:pt x="1488" y="3079"/>
                </a:lnTo>
                <a:lnTo>
                  <a:pt x="0" y="2647"/>
                </a:lnTo>
                <a:close/>
              </a:path>
            </a:pathLst>
          </a:cu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0" y="144"/>
            <a:ext cx="5664" cy="4128"/>
            <a:chOff x="-336" y="-288"/>
            <a:chExt cx="6192" cy="4608"/>
          </a:xfrm>
          <a:solidFill>
            <a:srgbClr val="FFFFFF"/>
          </a:solidFill>
        </xdr:grpSpPr>
        <xdr:sp>
          <xdr:nvSpPr>
            <xdr:cNvPr id="6" name="Line 6"/>
            <xdr:cNvSpPr>
              <a:spLocks/>
            </xdr:cNvSpPr>
          </xdr:nvSpPr>
          <xdr:spPr>
            <a:xfrm>
              <a:off x="1871" y="2208"/>
              <a:ext cx="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2447" y="2373"/>
              <a:ext cx="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1344" y="2592"/>
              <a:ext cx="1632" cy="48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871" y="2188"/>
              <a:ext cx="576" cy="1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344" y="2208"/>
              <a:ext cx="528" cy="38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447" y="2352"/>
              <a:ext cx="528" cy="72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rc 12"/>
            <xdr:cNvSpPr>
              <a:spLocks/>
            </xdr:cNvSpPr>
          </xdr:nvSpPr>
          <xdr:spPr>
            <a:xfrm rot="19926163">
              <a:off x="1960" y="2081"/>
              <a:ext cx="440" cy="458"/>
            </a:xfrm>
            <a:custGeom>
              <a:pathLst>
                <a:path fill="none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stroke="0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rc 13"/>
            <xdr:cNvSpPr>
              <a:spLocks/>
            </xdr:cNvSpPr>
          </xdr:nvSpPr>
          <xdr:spPr>
            <a:xfrm rot="19926163">
              <a:off x="3085" y="720"/>
              <a:ext cx="440" cy="458"/>
            </a:xfrm>
            <a:custGeom>
              <a:pathLst>
                <a:path fill="none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stroke="0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720" y="3312"/>
              <a:ext cx="1632" cy="48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 flipV="1">
              <a:off x="748" y="2208"/>
              <a:ext cx="1124" cy="110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 flipV="1">
              <a:off x="2351" y="2352"/>
              <a:ext cx="96" cy="144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265" y="336"/>
              <a:ext cx="1632" cy="43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flipV="1">
              <a:off x="2351" y="768"/>
              <a:ext cx="2543" cy="302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 flipV="1">
              <a:off x="3601" y="768"/>
              <a:ext cx="1296" cy="1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 flipV="1">
              <a:off x="3025" y="336"/>
              <a:ext cx="24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 flipV="1">
              <a:off x="2447" y="960"/>
              <a:ext cx="1152" cy="13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 flipV="1">
              <a:off x="720" y="336"/>
              <a:ext cx="2543" cy="297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V="1">
              <a:off x="1871" y="864"/>
              <a:ext cx="1152" cy="134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 flipV="1">
              <a:off x="2207" y="816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 flipV="1">
              <a:off x="2303" y="864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 flipV="1">
              <a:off x="2399" y="912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 flipV="1">
              <a:off x="2111" y="802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 flipV="1">
              <a:off x="2015" y="816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3573" y="960"/>
              <a:ext cx="528" cy="72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H="1">
              <a:off x="2517" y="816"/>
              <a:ext cx="528" cy="38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 flipV="1">
              <a:off x="2687" y="528"/>
              <a:ext cx="3169" cy="37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 flipV="1">
              <a:off x="-336" y="-288"/>
              <a:ext cx="3265" cy="374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2929" y="-288"/>
              <a:ext cx="2927" cy="81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-336" y="3456"/>
              <a:ext cx="3023" cy="86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 Box 35"/>
          <xdr:cNvSpPr txBox="1">
            <a:spLocks noChangeArrowheads="1"/>
          </xdr:cNvSpPr>
        </xdr:nvSpPr>
        <xdr:spPr>
          <a:xfrm rot="18664445">
            <a:off x="2847" y="3400"/>
            <a:ext cx="681" cy="5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Fill Ramp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6" name="Text Box 36"/>
          <xdr:cNvSpPr txBox="1">
            <a:spLocks noChangeArrowheads="1"/>
          </xdr:cNvSpPr>
        </xdr:nvSpPr>
        <xdr:spPr>
          <a:xfrm rot="18664445">
            <a:off x="3744" y="2416"/>
            <a:ext cx="608" cy="7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7" name="Text Box 37"/>
          <xdr:cNvSpPr txBox="1">
            <a:spLocks noChangeArrowheads="1"/>
          </xdr:cNvSpPr>
        </xdr:nvSpPr>
        <xdr:spPr>
          <a:xfrm rot="18664445">
            <a:off x="4466" y="1447"/>
            <a:ext cx="650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Back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8" name="Text Box 38"/>
          <xdr:cNvSpPr txBox="1">
            <a:spLocks noChangeArrowheads="1"/>
          </xdr:cNvSpPr>
        </xdr:nvSpPr>
        <xdr:spPr>
          <a:xfrm rot="1396374">
            <a:off x="1272" y="3615"/>
            <a:ext cx="550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 rot="1396374">
            <a:off x="2084" y="2491"/>
            <a:ext cx="401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 rot="1396374">
            <a:off x="1830" y="1489"/>
            <a:ext cx="542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Buffer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1" name="Text Box 41"/>
          <xdr:cNvSpPr txBox="1">
            <a:spLocks noChangeArrowheads="1"/>
          </xdr:cNvSpPr>
        </xdr:nvSpPr>
        <xdr:spPr>
          <a:xfrm rot="1396374">
            <a:off x="3759" y="476"/>
            <a:ext cx="494" cy="4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Buffer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2496" y="3840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849" y="1104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128" y="1968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090" y="3186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3264" y="2784"/>
            <a:ext cx="433" cy="48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4080" y="2064"/>
            <a:ext cx="240" cy="28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H="1">
            <a:off x="4368" y="1776"/>
            <a:ext cx="191" cy="24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V="1">
            <a:off x="4895" y="1200"/>
            <a:ext cx="145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2544" y="3906"/>
            <a:ext cx="145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H="1">
            <a:off x="2208" y="3840"/>
            <a:ext cx="191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768" y="3408"/>
            <a:ext cx="191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1728" y="3792"/>
            <a:ext cx="528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 flipV="1">
            <a:off x="865" y="3504"/>
            <a:ext cx="336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 flipV="1">
            <a:off x="2016" y="2496"/>
            <a:ext cx="96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01" y="2688"/>
            <a:ext cx="145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 flipV="1">
            <a:off x="1728" y="1584"/>
            <a:ext cx="96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13" y="1776"/>
            <a:ext cx="145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4128" y="528"/>
            <a:ext cx="240" cy="38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512" y="3024"/>
            <a:ext cx="0" cy="528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5088" y="3189"/>
            <a:ext cx="0" cy="528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4512" y="3004"/>
            <a:ext cx="576" cy="192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rc 63"/>
          <xdr:cNvSpPr>
            <a:spLocks/>
          </xdr:cNvSpPr>
        </xdr:nvSpPr>
        <xdr:spPr>
          <a:xfrm rot="19926163">
            <a:off x="4599" y="2896"/>
            <a:ext cx="440" cy="458"/>
          </a:xfrm>
          <a:custGeom>
            <a:pathLst>
              <a:path fill="none" h="21487" w="21246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</a:path>
              <a:path stroke="0" h="21487" w="21246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4512" y="3552"/>
            <a:ext cx="576" cy="192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 Box 65"/>
          <xdr:cNvSpPr txBox="1">
            <a:spLocks noChangeArrowheads="1"/>
          </xdr:cNvSpPr>
        </xdr:nvSpPr>
        <xdr:spPr>
          <a:xfrm rot="1396374">
            <a:off x="4572" y="3940"/>
            <a:ext cx="418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 flipV="1">
            <a:off x="4512" y="3936"/>
            <a:ext cx="96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895" y="4128"/>
            <a:ext cx="145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5185" y="3216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185" y="3744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4944" y="2964"/>
            <a:ext cx="5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088" y="3792"/>
            <a:ext cx="0" cy="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500" y="3600"/>
            <a:ext cx="0" cy="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Text Box 73"/>
          <xdr:cNvSpPr txBox="1">
            <a:spLocks noChangeArrowheads="1"/>
          </xdr:cNvSpPr>
        </xdr:nvSpPr>
        <xdr:spPr>
          <a:xfrm>
            <a:off x="5170" y="3357"/>
            <a:ext cx="442" cy="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Depth
</a:t>
            </a:r>
          </a:p>
        </xdr:txBody>
      </xdr:sp>
      <xdr:sp>
        <xdr:nvSpPr>
          <xdr:cNvPr id="74" name="Text Box 74"/>
          <xdr:cNvSpPr txBox="1">
            <a:spLocks noChangeArrowheads="1"/>
          </xdr:cNvSpPr>
        </xdr:nvSpPr>
        <xdr:spPr>
          <a:xfrm>
            <a:off x="5090" y="2957"/>
            <a:ext cx="477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Height
</a:t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5231" y="2688"/>
            <a:ext cx="0" cy="28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5280" y="3216"/>
            <a:ext cx="0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5280" y="3648"/>
            <a:ext cx="0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47625</xdr:rowOff>
    </xdr:from>
    <xdr:to>
      <xdr:col>19</xdr:col>
      <xdr:colOff>161925</xdr:colOff>
      <xdr:row>36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572375" y="295275"/>
          <a:ext cx="7439025" cy="6400800"/>
          <a:chOff x="-9" y="144"/>
          <a:chExt cx="5673" cy="4128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512" y="2976"/>
            <a:ext cx="576" cy="768"/>
          </a:xfrm>
          <a:custGeom>
            <a:pathLst>
              <a:path h="768" w="576">
                <a:moveTo>
                  <a:pt x="0" y="48"/>
                </a:moveTo>
                <a:lnTo>
                  <a:pt x="0" y="576"/>
                </a:lnTo>
                <a:lnTo>
                  <a:pt x="576" y="768"/>
                </a:lnTo>
                <a:lnTo>
                  <a:pt x="576" y="192"/>
                </a:lnTo>
                <a:lnTo>
                  <a:pt x="480" y="96"/>
                </a:lnTo>
                <a:lnTo>
                  <a:pt x="384" y="48"/>
                </a:lnTo>
                <a:lnTo>
                  <a:pt x="240" y="0"/>
                </a:lnTo>
                <a:lnTo>
                  <a:pt x="96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-9" y="144"/>
            <a:ext cx="5673" cy="4126"/>
          </a:xfrm>
          <a:custGeom>
            <a:pathLst>
              <a:path h="4126" w="5673">
                <a:moveTo>
                  <a:pt x="0" y="3339"/>
                </a:moveTo>
                <a:lnTo>
                  <a:pt x="2985" y="0"/>
                </a:lnTo>
                <a:lnTo>
                  <a:pt x="5673" y="720"/>
                </a:lnTo>
                <a:lnTo>
                  <a:pt x="2779" y="4126"/>
                </a:lnTo>
                <a:lnTo>
                  <a:pt x="0" y="3339"/>
                </a:ln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960" y="713"/>
            <a:ext cx="3814" cy="3079"/>
          </a:xfrm>
          <a:custGeom>
            <a:pathLst>
              <a:path h="3079" w="3813">
                <a:moveTo>
                  <a:pt x="0" y="2647"/>
                </a:moveTo>
                <a:lnTo>
                  <a:pt x="2331" y="0"/>
                </a:lnTo>
                <a:lnTo>
                  <a:pt x="3813" y="366"/>
                </a:lnTo>
                <a:lnTo>
                  <a:pt x="1488" y="3079"/>
                </a:lnTo>
                <a:lnTo>
                  <a:pt x="0" y="2647"/>
                </a:lnTo>
                <a:close/>
              </a:path>
            </a:pathLst>
          </a:cu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0" y="144"/>
            <a:ext cx="5664" cy="4128"/>
            <a:chOff x="-336" y="-288"/>
            <a:chExt cx="6192" cy="4608"/>
          </a:xfrm>
          <a:solidFill>
            <a:srgbClr val="FFFFFF"/>
          </a:solidFill>
        </xdr:grpSpPr>
        <xdr:sp>
          <xdr:nvSpPr>
            <xdr:cNvPr id="6" name="Line 6"/>
            <xdr:cNvSpPr>
              <a:spLocks/>
            </xdr:cNvSpPr>
          </xdr:nvSpPr>
          <xdr:spPr>
            <a:xfrm>
              <a:off x="1871" y="2208"/>
              <a:ext cx="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2447" y="2373"/>
              <a:ext cx="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1344" y="2592"/>
              <a:ext cx="1632" cy="48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871" y="2188"/>
              <a:ext cx="576" cy="1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344" y="2208"/>
              <a:ext cx="528" cy="38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447" y="2352"/>
              <a:ext cx="528" cy="72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rc 12"/>
            <xdr:cNvSpPr>
              <a:spLocks/>
            </xdr:cNvSpPr>
          </xdr:nvSpPr>
          <xdr:spPr>
            <a:xfrm rot="19926163">
              <a:off x="1960" y="2081"/>
              <a:ext cx="440" cy="458"/>
            </a:xfrm>
            <a:custGeom>
              <a:pathLst>
                <a:path fill="none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stroke="0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rc 13"/>
            <xdr:cNvSpPr>
              <a:spLocks/>
            </xdr:cNvSpPr>
          </xdr:nvSpPr>
          <xdr:spPr>
            <a:xfrm rot="19926163">
              <a:off x="3085" y="720"/>
              <a:ext cx="440" cy="458"/>
            </a:xfrm>
            <a:custGeom>
              <a:pathLst>
                <a:path fill="none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stroke="0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720" y="3312"/>
              <a:ext cx="1632" cy="48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 flipV="1">
              <a:off x="748" y="2208"/>
              <a:ext cx="1124" cy="110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 flipV="1">
              <a:off x="2351" y="2352"/>
              <a:ext cx="96" cy="144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265" y="336"/>
              <a:ext cx="1632" cy="43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flipV="1">
              <a:off x="2351" y="768"/>
              <a:ext cx="2543" cy="302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 flipV="1">
              <a:off x="3601" y="768"/>
              <a:ext cx="1296" cy="1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 flipV="1">
              <a:off x="3025" y="336"/>
              <a:ext cx="24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 flipV="1">
              <a:off x="2447" y="960"/>
              <a:ext cx="1152" cy="13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 flipV="1">
              <a:off x="720" y="336"/>
              <a:ext cx="2543" cy="297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V="1">
              <a:off x="1871" y="864"/>
              <a:ext cx="1152" cy="134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 flipV="1">
              <a:off x="2207" y="816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 flipV="1">
              <a:off x="2303" y="864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 flipV="1">
              <a:off x="2399" y="912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 flipV="1">
              <a:off x="2111" y="802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 flipV="1">
              <a:off x="2015" y="816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3573" y="960"/>
              <a:ext cx="528" cy="72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H="1">
              <a:off x="2517" y="816"/>
              <a:ext cx="528" cy="38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 flipV="1">
              <a:off x="2687" y="528"/>
              <a:ext cx="3169" cy="37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 flipV="1">
              <a:off x="-336" y="-288"/>
              <a:ext cx="3265" cy="374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2929" y="-288"/>
              <a:ext cx="2927" cy="81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-336" y="3456"/>
              <a:ext cx="3023" cy="86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 Box 35"/>
          <xdr:cNvSpPr txBox="1">
            <a:spLocks noChangeArrowheads="1"/>
          </xdr:cNvSpPr>
        </xdr:nvSpPr>
        <xdr:spPr>
          <a:xfrm rot="18664445">
            <a:off x="2845" y="3400"/>
            <a:ext cx="684" cy="5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Fill Ramp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6" name="Text Box 36"/>
          <xdr:cNvSpPr txBox="1">
            <a:spLocks noChangeArrowheads="1"/>
          </xdr:cNvSpPr>
        </xdr:nvSpPr>
        <xdr:spPr>
          <a:xfrm rot="18664445">
            <a:off x="3747" y="2417"/>
            <a:ext cx="603" cy="7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7" name="Text Box 37"/>
          <xdr:cNvSpPr txBox="1">
            <a:spLocks noChangeArrowheads="1"/>
          </xdr:cNvSpPr>
        </xdr:nvSpPr>
        <xdr:spPr>
          <a:xfrm rot="18664445">
            <a:off x="4466" y="1446"/>
            <a:ext cx="645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Back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8" name="Text Box 38"/>
          <xdr:cNvSpPr txBox="1">
            <a:spLocks noChangeArrowheads="1"/>
          </xdr:cNvSpPr>
        </xdr:nvSpPr>
        <xdr:spPr>
          <a:xfrm rot="1396374">
            <a:off x="1269" y="3615"/>
            <a:ext cx="552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Bottom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 rot="1396374">
            <a:off x="2083" y="2491"/>
            <a:ext cx="407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 rot="1396374">
            <a:off x="1829" y="1489"/>
            <a:ext cx="545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Buffer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1" name="Text Box 41"/>
          <xdr:cNvSpPr txBox="1">
            <a:spLocks noChangeArrowheads="1"/>
          </xdr:cNvSpPr>
        </xdr:nvSpPr>
        <xdr:spPr>
          <a:xfrm rot="1396374">
            <a:off x="3761" y="476"/>
            <a:ext cx="494" cy="4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Buffer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2496" y="3840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849" y="1104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128" y="1968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090" y="3186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3264" y="2784"/>
            <a:ext cx="433" cy="48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4080" y="2064"/>
            <a:ext cx="240" cy="28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H="1">
            <a:off x="4368" y="1776"/>
            <a:ext cx="191" cy="24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V="1">
            <a:off x="4895" y="1200"/>
            <a:ext cx="145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2544" y="3906"/>
            <a:ext cx="145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H="1">
            <a:off x="2208" y="3840"/>
            <a:ext cx="191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768" y="3408"/>
            <a:ext cx="191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1728" y="3792"/>
            <a:ext cx="528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 flipV="1">
            <a:off x="865" y="3504"/>
            <a:ext cx="336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 flipV="1">
            <a:off x="2016" y="2496"/>
            <a:ext cx="96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01" y="2688"/>
            <a:ext cx="145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 flipV="1">
            <a:off x="1728" y="1584"/>
            <a:ext cx="96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13" y="1776"/>
            <a:ext cx="145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4128" y="528"/>
            <a:ext cx="240" cy="38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512" y="3024"/>
            <a:ext cx="0" cy="528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5088" y="3189"/>
            <a:ext cx="0" cy="528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4512" y="3004"/>
            <a:ext cx="576" cy="192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rc 63"/>
          <xdr:cNvSpPr>
            <a:spLocks/>
          </xdr:cNvSpPr>
        </xdr:nvSpPr>
        <xdr:spPr>
          <a:xfrm rot="19926163">
            <a:off x="4599" y="2896"/>
            <a:ext cx="440" cy="458"/>
          </a:xfrm>
          <a:custGeom>
            <a:pathLst>
              <a:path fill="none" h="21487" w="21246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</a:path>
              <a:path stroke="0" h="21487" w="21246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4512" y="3552"/>
            <a:ext cx="576" cy="192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 Box 65"/>
          <xdr:cNvSpPr txBox="1">
            <a:spLocks noChangeArrowheads="1"/>
          </xdr:cNvSpPr>
        </xdr:nvSpPr>
        <xdr:spPr>
          <a:xfrm rot="1396374">
            <a:off x="4573" y="3940"/>
            <a:ext cx="414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 flipV="1">
            <a:off x="4512" y="3936"/>
            <a:ext cx="96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895" y="4128"/>
            <a:ext cx="145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5185" y="3216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185" y="3744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4944" y="2964"/>
            <a:ext cx="5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088" y="3792"/>
            <a:ext cx="0" cy="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500" y="3600"/>
            <a:ext cx="0" cy="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Text Box 73"/>
          <xdr:cNvSpPr txBox="1">
            <a:spLocks noChangeArrowheads="1"/>
          </xdr:cNvSpPr>
        </xdr:nvSpPr>
        <xdr:spPr>
          <a:xfrm>
            <a:off x="5170" y="3357"/>
            <a:ext cx="442" cy="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Depth
</a:t>
            </a:r>
          </a:p>
        </xdr:txBody>
      </xdr:sp>
      <xdr:sp>
        <xdr:nvSpPr>
          <xdr:cNvPr id="74" name="Text Box 74"/>
          <xdr:cNvSpPr txBox="1">
            <a:spLocks noChangeArrowheads="1"/>
          </xdr:cNvSpPr>
        </xdr:nvSpPr>
        <xdr:spPr>
          <a:xfrm>
            <a:off x="5090" y="2957"/>
            <a:ext cx="472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Height
</a:t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5231" y="2688"/>
            <a:ext cx="0" cy="28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5280" y="3216"/>
            <a:ext cx="0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5280" y="3648"/>
            <a:ext cx="0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190500</xdr:rowOff>
    </xdr:from>
    <xdr:to>
      <xdr:col>28</xdr:col>
      <xdr:colOff>152400</xdr:colOff>
      <xdr:row>48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3306425" y="190500"/>
          <a:ext cx="8543925" cy="8801100"/>
          <a:chOff x="-18" y="144"/>
          <a:chExt cx="5682" cy="4141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512" y="2976"/>
            <a:ext cx="575" cy="768"/>
          </a:xfrm>
          <a:custGeom>
            <a:pathLst>
              <a:path h="768" w="576">
                <a:moveTo>
                  <a:pt x="0" y="48"/>
                </a:moveTo>
                <a:lnTo>
                  <a:pt x="0" y="576"/>
                </a:lnTo>
                <a:lnTo>
                  <a:pt x="576" y="768"/>
                </a:lnTo>
                <a:lnTo>
                  <a:pt x="576" y="192"/>
                </a:lnTo>
                <a:lnTo>
                  <a:pt x="480" y="96"/>
                </a:lnTo>
                <a:lnTo>
                  <a:pt x="384" y="48"/>
                </a:lnTo>
                <a:lnTo>
                  <a:pt x="240" y="0"/>
                </a:lnTo>
                <a:lnTo>
                  <a:pt x="96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-9" y="144"/>
            <a:ext cx="5673" cy="4127"/>
          </a:xfrm>
          <a:custGeom>
            <a:pathLst>
              <a:path h="4126" w="5673">
                <a:moveTo>
                  <a:pt x="0" y="3339"/>
                </a:moveTo>
                <a:lnTo>
                  <a:pt x="2985" y="0"/>
                </a:lnTo>
                <a:lnTo>
                  <a:pt x="5673" y="720"/>
                </a:lnTo>
                <a:lnTo>
                  <a:pt x="2779" y="4126"/>
                </a:lnTo>
                <a:lnTo>
                  <a:pt x="0" y="3339"/>
                </a:ln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959" y="713"/>
            <a:ext cx="3813" cy="3079"/>
          </a:xfrm>
          <a:custGeom>
            <a:pathLst>
              <a:path h="3079" w="3813">
                <a:moveTo>
                  <a:pt x="0" y="2647"/>
                </a:moveTo>
                <a:lnTo>
                  <a:pt x="2331" y="0"/>
                </a:lnTo>
                <a:lnTo>
                  <a:pt x="3813" y="366"/>
                </a:lnTo>
                <a:lnTo>
                  <a:pt x="1488" y="3079"/>
                </a:lnTo>
                <a:lnTo>
                  <a:pt x="0" y="2647"/>
                </a:lnTo>
                <a:close/>
              </a:path>
            </a:pathLst>
          </a:custGeom>
          <a:solidFill>
            <a:srgbClr val="00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-18" y="144"/>
            <a:ext cx="5682" cy="4128"/>
            <a:chOff x="-357" y="-288"/>
            <a:chExt cx="6213" cy="4608"/>
          </a:xfrm>
          <a:solidFill>
            <a:srgbClr val="FFFFFF"/>
          </a:solidFill>
        </xdr:grpSpPr>
        <xdr:sp>
          <xdr:nvSpPr>
            <xdr:cNvPr id="6" name="Line 6"/>
            <xdr:cNvSpPr>
              <a:spLocks/>
            </xdr:cNvSpPr>
          </xdr:nvSpPr>
          <xdr:spPr>
            <a:xfrm>
              <a:off x="1872" y="2208"/>
              <a:ext cx="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2448" y="2373"/>
              <a:ext cx="0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1344" y="2592"/>
              <a:ext cx="1632" cy="48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1872" y="2188"/>
              <a:ext cx="576" cy="1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344" y="2208"/>
              <a:ext cx="528" cy="38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448" y="2352"/>
              <a:ext cx="528" cy="72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rc 12"/>
            <xdr:cNvSpPr>
              <a:spLocks/>
            </xdr:cNvSpPr>
          </xdr:nvSpPr>
          <xdr:spPr>
            <a:xfrm rot="19926163">
              <a:off x="1959" y="2081"/>
              <a:ext cx="440" cy="458"/>
            </a:xfrm>
            <a:custGeom>
              <a:pathLst>
                <a:path fill="none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stroke="0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rc 13"/>
            <xdr:cNvSpPr>
              <a:spLocks/>
            </xdr:cNvSpPr>
          </xdr:nvSpPr>
          <xdr:spPr>
            <a:xfrm rot="19926163">
              <a:off x="3085" y="720"/>
              <a:ext cx="440" cy="458"/>
            </a:xfrm>
            <a:custGeom>
              <a:pathLst>
                <a:path fill="none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</a:path>
                <a:path stroke="0" h="21487" w="21246">
                  <a:moveTo>
                    <a:pt x="2206" y="0"/>
                  </a:moveTo>
                  <a:cubicBezTo>
                    <a:pt x="11758" y="981"/>
                    <a:pt x="19515" y="8149"/>
                    <a:pt x="21246" y="17593"/>
                  </a:cubicBezTo>
                  <a:lnTo>
                    <a:pt x="0" y="21487"/>
                  </a:lnTo>
                  <a:lnTo>
                    <a:pt x="2206" y="0"/>
                  </a:lnTo>
                  <a:close/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719" y="3312"/>
              <a:ext cx="1632" cy="48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 flipV="1">
              <a:off x="747" y="2208"/>
              <a:ext cx="1125" cy="110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 flipV="1">
              <a:off x="2352" y="2352"/>
              <a:ext cx="96" cy="144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264" y="336"/>
              <a:ext cx="1632" cy="43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flipV="1">
              <a:off x="2352" y="768"/>
              <a:ext cx="2544" cy="302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 flipV="1">
              <a:off x="3601" y="768"/>
              <a:ext cx="1295" cy="1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 flipV="1">
              <a:off x="3024" y="336"/>
              <a:ext cx="241" cy="528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 flipV="1">
              <a:off x="2448" y="960"/>
              <a:ext cx="1153" cy="13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 flipV="1">
              <a:off x="719" y="336"/>
              <a:ext cx="2544" cy="297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V="1">
              <a:off x="1872" y="864"/>
              <a:ext cx="1153" cy="134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 flipV="1">
              <a:off x="2207" y="816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 flipV="1">
              <a:off x="2304" y="864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 flipV="1">
              <a:off x="2400" y="912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 flipV="1">
              <a:off x="2113" y="802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 flipV="1">
              <a:off x="2016" y="816"/>
              <a:ext cx="1104" cy="13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3573" y="960"/>
              <a:ext cx="528" cy="72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 flipH="1">
              <a:off x="2517" y="816"/>
              <a:ext cx="528" cy="38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 flipV="1">
              <a:off x="2687" y="528"/>
              <a:ext cx="3169" cy="379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 flipV="1">
              <a:off x="-357" y="-288"/>
              <a:ext cx="3265" cy="374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2928" y="-288"/>
              <a:ext cx="2928" cy="81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-335" y="3456"/>
              <a:ext cx="3024" cy="86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 Box 35"/>
          <xdr:cNvSpPr txBox="1">
            <a:spLocks noChangeArrowheads="1"/>
          </xdr:cNvSpPr>
        </xdr:nvSpPr>
        <xdr:spPr>
          <a:xfrm rot="18664445">
            <a:off x="2758" y="3473"/>
            <a:ext cx="793" cy="5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de la plataforma de llenado
</a:t>
            </a:r>
          </a:p>
        </xdr:txBody>
      </xdr:sp>
      <xdr:sp>
        <xdr:nvSpPr>
          <xdr:cNvPr id="36" name="Text Box 36"/>
          <xdr:cNvSpPr txBox="1">
            <a:spLocks noChangeArrowheads="1"/>
          </xdr:cNvSpPr>
        </xdr:nvSpPr>
        <xdr:spPr>
          <a:xfrm rot="18664445">
            <a:off x="3763" y="2586"/>
            <a:ext cx="412" cy="5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7" name="Text Box 37"/>
          <xdr:cNvSpPr txBox="1">
            <a:spLocks noChangeArrowheads="1"/>
          </xdr:cNvSpPr>
        </xdr:nvSpPr>
        <xdr:spPr>
          <a:xfrm rot="18664445">
            <a:off x="4523" y="1475"/>
            <a:ext cx="621" cy="5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de la plataforma posterior
</a:t>
            </a:r>
          </a:p>
        </xdr:txBody>
      </xdr:sp>
      <xdr:sp>
        <xdr:nvSpPr>
          <xdr:cNvPr id="38" name="Text Box 38"/>
          <xdr:cNvSpPr txBox="1">
            <a:spLocks noChangeArrowheads="1"/>
          </xdr:cNvSpPr>
        </xdr:nvSpPr>
        <xdr:spPr>
          <a:xfrm rot="1396374">
            <a:off x="1141" y="3649"/>
            <a:ext cx="969" cy="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de la superficie inferior
</a:t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 rot="1396374">
            <a:off x="2084" y="2501"/>
            <a:ext cx="405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del tope
</a:t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 rot="1396374">
            <a:off x="1819" y="1560"/>
            <a:ext cx="822" cy="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 de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"buffer"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lateral</a:t>
            </a:r>
          </a:p>
        </xdr:txBody>
      </xdr:sp>
      <xdr:sp>
        <xdr:nvSpPr>
          <xdr:cNvPr id="41" name="Text Box 41"/>
          <xdr:cNvSpPr txBox="1">
            <a:spLocks noChangeArrowheads="1"/>
          </xdr:cNvSpPr>
        </xdr:nvSpPr>
        <xdr:spPr>
          <a:xfrm rot="1396374">
            <a:off x="3663" y="538"/>
            <a:ext cx="822" cy="4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 de "buffer" del extremo</a:t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2496" y="3840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849" y="1104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128" y="1968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090" y="3186"/>
            <a:ext cx="38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3263" y="2784"/>
            <a:ext cx="432" cy="48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V="1">
            <a:off x="4080" y="2064"/>
            <a:ext cx="240" cy="28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H="1">
            <a:off x="4369" y="1776"/>
            <a:ext cx="192" cy="24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V="1">
            <a:off x="4896" y="1200"/>
            <a:ext cx="143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V="1">
            <a:off x="2545" y="3906"/>
            <a:ext cx="143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H="1">
            <a:off x="2208" y="3840"/>
            <a:ext cx="192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768" y="3408"/>
            <a:ext cx="192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1728" y="3792"/>
            <a:ext cx="528" cy="1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 flipV="1">
            <a:off x="864" y="3504"/>
            <a:ext cx="337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 flipV="1">
            <a:off x="2016" y="2496"/>
            <a:ext cx="97" cy="4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00" y="2688"/>
            <a:ext cx="143" cy="4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 flipV="1">
            <a:off x="1728" y="1584"/>
            <a:ext cx="97" cy="4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111" y="1776"/>
            <a:ext cx="143" cy="4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V="1">
            <a:off x="4280" y="551"/>
            <a:ext cx="240" cy="38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512" y="3024"/>
            <a:ext cx="0" cy="528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5089" y="3189"/>
            <a:ext cx="0" cy="528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4512" y="3004"/>
            <a:ext cx="575" cy="192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rc 63"/>
          <xdr:cNvSpPr>
            <a:spLocks/>
          </xdr:cNvSpPr>
        </xdr:nvSpPr>
        <xdr:spPr>
          <a:xfrm rot="19926163">
            <a:off x="4599" y="2896"/>
            <a:ext cx="439" cy="458"/>
          </a:xfrm>
          <a:custGeom>
            <a:pathLst>
              <a:path fill="none" h="21487" w="21246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</a:path>
              <a:path stroke="0" h="21487" w="21246">
                <a:moveTo>
                  <a:pt x="2206" y="0"/>
                </a:moveTo>
                <a:cubicBezTo>
                  <a:pt x="11758" y="981"/>
                  <a:pt x="19515" y="8149"/>
                  <a:pt x="21246" y="1759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4512" y="3552"/>
            <a:ext cx="575" cy="192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 Box 65"/>
          <xdr:cNvSpPr txBox="1">
            <a:spLocks noChangeArrowheads="1"/>
          </xdr:cNvSpPr>
        </xdr:nvSpPr>
        <xdr:spPr>
          <a:xfrm rot="1396374">
            <a:off x="4574" y="3958"/>
            <a:ext cx="614" cy="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del tope
</a:t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 flipV="1">
            <a:off x="4512" y="3936"/>
            <a:ext cx="97" cy="4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4896" y="4128"/>
            <a:ext cx="143" cy="4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5184" y="3216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5184" y="3744"/>
            <a:ext cx="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4944" y="2964"/>
            <a:ext cx="5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089" y="3792"/>
            <a:ext cx="0" cy="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501" y="3600"/>
            <a:ext cx="0" cy="3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Text Box 73"/>
          <xdr:cNvSpPr txBox="1">
            <a:spLocks noChangeArrowheads="1"/>
          </xdr:cNvSpPr>
        </xdr:nvSpPr>
        <xdr:spPr>
          <a:xfrm>
            <a:off x="5175" y="3362"/>
            <a:ext cx="482" cy="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Profundidad de la pila</a:t>
            </a:r>
          </a:p>
        </xdr:txBody>
      </xdr:sp>
      <xdr:sp>
        <xdr:nvSpPr>
          <xdr:cNvPr id="74" name="Text Box 74"/>
          <xdr:cNvSpPr txBox="1">
            <a:spLocks noChangeArrowheads="1"/>
          </xdr:cNvSpPr>
        </xdr:nvSpPr>
        <xdr:spPr>
          <a:xfrm>
            <a:off x="5089" y="2948"/>
            <a:ext cx="482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de la cúpula</a:t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5232" y="2688"/>
            <a:ext cx="0" cy="28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5280" y="3216"/>
            <a:ext cx="0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5280" y="3648"/>
            <a:ext cx="0" cy="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352425</xdr:colOff>
      <xdr:row>33</xdr:row>
      <xdr:rowOff>104775</xdr:rowOff>
    </xdr:from>
    <xdr:to>
      <xdr:col>26</xdr:col>
      <xdr:colOff>180975</xdr:colOff>
      <xdr:row>41</xdr:row>
      <xdr:rowOff>171450</xdr:rowOff>
    </xdr:to>
    <xdr:sp>
      <xdr:nvSpPr>
        <xdr:cNvPr id="1" name="Freeform 2"/>
        <xdr:cNvSpPr>
          <a:spLocks/>
        </xdr:cNvSpPr>
      </xdr:nvSpPr>
      <xdr:spPr>
        <a:xfrm>
          <a:off x="21431250" y="6181725"/>
          <a:ext cx="876300" cy="1666875"/>
        </a:xfrm>
        <a:custGeom>
          <a:pathLst>
            <a:path h="768" w="576">
              <a:moveTo>
                <a:pt x="0" y="48"/>
              </a:moveTo>
              <a:lnTo>
                <a:pt x="0" y="576"/>
              </a:lnTo>
              <a:lnTo>
                <a:pt x="576" y="768"/>
              </a:lnTo>
              <a:lnTo>
                <a:pt x="576" y="192"/>
              </a:lnTo>
              <a:lnTo>
                <a:pt x="480" y="96"/>
              </a:lnTo>
              <a:lnTo>
                <a:pt x="384" y="48"/>
              </a:lnTo>
              <a:lnTo>
                <a:pt x="240" y="0"/>
              </a:lnTo>
              <a:lnTo>
                <a:pt x="96" y="0"/>
              </a:lnTo>
              <a:lnTo>
                <a:pt x="0" y="48"/>
              </a:lnTo>
              <a:close/>
            </a:path>
          </a:pathLst>
        </a:custGeom>
        <a:solidFill>
          <a:srgbClr val="00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28</xdr:col>
      <xdr:colOff>0</xdr:colOff>
      <xdr:row>54</xdr:row>
      <xdr:rowOff>0</xdr:rowOff>
    </xdr:to>
    <xdr:sp>
      <xdr:nvSpPr>
        <xdr:cNvPr id="2" name="Freeform 3"/>
        <xdr:cNvSpPr>
          <a:spLocks/>
        </xdr:cNvSpPr>
      </xdr:nvSpPr>
      <xdr:spPr>
        <a:xfrm>
          <a:off x="12515850" y="0"/>
          <a:ext cx="10677525" cy="9896475"/>
        </a:xfrm>
        <a:custGeom>
          <a:pathLst>
            <a:path h="4126" w="5673">
              <a:moveTo>
                <a:pt x="0" y="3339"/>
              </a:moveTo>
              <a:lnTo>
                <a:pt x="2985" y="0"/>
              </a:lnTo>
              <a:lnTo>
                <a:pt x="5673" y="720"/>
              </a:lnTo>
              <a:lnTo>
                <a:pt x="2779" y="4126"/>
              </a:lnTo>
              <a:lnTo>
                <a:pt x="0" y="3339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19050</xdr:rowOff>
    </xdr:from>
    <xdr:to>
      <xdr:col>26</xdr:col>
      <xdr:colOff>381000</xdr:colOff>
      <xdr:row>42</xdr:row>
      <xdr:rowOff>95250</xdr:rowOff>
    </xdr:to>
    <xdr:sp>
      <xdr:nvSpPr>
        <xdr:cNvPr id="3" name="Freeform 4"/>
        <xdr:cNvSpPr>
          <a:spLocks/>
        </xdr:cNvSpPr>
      </xdr:nvSpPr>
      <xdr:spPr>
        <a:xfrm>
          <a:off x="15078075" y="1400175"/>
          <a:ext cx="7429500" cy="6572250"/>
        </a:xfrm>
        <a:custGeom>
          <a:pathLst>
            <a:path h="3079" w="3813">
              <a:moveTo>
                <a:pt x="0" y="2647"/>
              </a:moveTo>
              <a:lnTo>
                <a:pt x="2331" y="0"/>
              </a:lnTo>
              <a:lnTo>
                <a:pt x="3813" y="366"/>
              </a:lnTo>
              <a:lnTo>
                <a:pt x="1488" y="3079"/>
              </a:lnTo>
              <a:lnTo>
                <a:pt x="0" y="2647"/>
              </a:lnTo>
              <a:close/>
            </a:path>
          </a:pathLst>
        </a:custGeom>
        <a:solidFill>
          <a:srgbClr val="00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27</xdr:row>
      <xdr:rowOff>19050</xdr:rowOff>
    </xdr:from>
    <xdr:to>
      <xdr:col>17</xdr:col>
      <xdr:colOff>361950</xdr:colOff>
      <xdr:row>32</xdr:row>
      <xdr:rowOff>38100</xdr:rowOff>
    </xdr:to>
    <xdr:sp>
      <xdr:nvSpPr>
        <xdr:cNvPr id="4" name="Line 6"/>
        <xdr:cNvSpPr>
          <a:spLocks/>
        </xdr:cNvSpPr>
      </xdr:nvSpPr>
      <xdr:spPr>
        <a:xfrm>
          <a:off x="17173575" y="4895850"/>
          <a:ext cx="0" cy="101917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28</xdr:row>
      <xdr:rowOff>133350</xdr:rowOff>
    </xdr:from>
    <xdr:to>
      <xdr:col>19</xdr:col>
      <xdr:colOff>190500</xdr:colOff>
      <xdr:row>33</xdr:row>
      <xdr:rowOff>161925</xdr:rowOff>
    </xdr:to>
    <xdr:sp>
      <xdr:nvSpPr>
        <xdr:cNvPr id="5" name="Line 7"/>
        <xdr:cNvSpPr>
          <a:spLocks/>
        </xdr:cNvSpPr>
      </xdr:nvSpPr>
      <xdr:spPr>
        <a:xfrm>
          <a:off x="18221325" y="5210175"/>
          <a:ext cx="0" cy="102870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161925</xdr:rowOff>
    </xdr:from>
    <xdr:to>
      <xdr:col>20</xdr:col>
      <xdr:colOff>542925</xdr:colOff>
      <xdr:row>35</xdr:row>
      <xdr:rowOff>95250</xdr:rowOff>
    </xdr:to>
    <xdr:sp>
      <xdr:nvSpPr>
        <xdr:cNvPr id="6" name="Line 8"/>
        <xdr:cNvSpPr>
          <a:spLocks/>
        </xdr:cNvSpPr>
      </xdr:nvSpPr>
      <xdr:spPr>
        <a:xfrm>
          <a:off x="16211550" y="5638800"/>
          <a:ext cx="2971800" cy="9334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26</xdr:row>
      <xdr:rowOff>180975</xdr:rowOff>
    </xdr:from>
    <xdr:to>
      <xdr:col>19</xdr:col>
      <xdr:colOff>190500</xdr:colOff>
      <xdr:row>28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7173575" y="4857750"/>
          <a:ext cx="1047750" cy="37147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19050</xdr:rowOff>
    </xdr:from>
    <xdr:to>
      <xdr:col>17</xdr:col>
      <xdr:colOff>361950</xdr:colOff>
      <xdr:row>30</xdr:row>
      <xdr:rowOff>161925</xdr:rowOff>
    </xdr:to>
    <xdr:sp>
      <xdr:nvSpPr>
        <xdr:cNvPr id="8" name="Line 10"/>
        <xdr:cNvSpPr>
          <a:spLocks/>
        </xdr:cNvSpPr>
      </xdr:nvSpPr>
      <xdr:spPr>
        <a:xfrm flipH="1">
          <a:off x="16211550" y="4895850"/>
          <a:ext cx="962025" cy="742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28</xdr:row>
      <xdr:rowOff>95250</xdr:rowOff>
    </xdr:from>
    <xdr:to>
      <xdr:col>20</xdr:col>
      <xdr:colOff>542925</xdr:colOff>
      <xdr:row>35</xdr:row>
      <xdr:rowOff>95250</xdr:rowOff>
    </xdr:to>
    <xdr:sp>
      <xdr:nvSpPr>
        <xdr:cNvPr id="9" name="Line 11"/>
        <xdr:cNvSpPr>
          <a:spLocks/>
        </xdr:cNvSpPr>
      </xdr:nvSpPr>
      <xdr:spPr>
        <a:xfrm>
          <a:off x="18221325" y="5172075"/>
          <a:ext cx="962025" cy="1400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514350</xdr:colOff>
      <xdr:row>25</xdr:row>
      <xdr:rowOff>171450</xdr:rowOff>
    </xdr:from>
    <xdr:to>
      <xdr:col>19</xdr:col>
      <xdr:colOff>104775</xdr:colOff>
      <xdr:row>30</xdr:row>
      <xdr:rowOff>57150</xdr:rowOff>
    </xdr:to>
    <xdr:sp>
      <xdr:nvSpPr>
        <xdr:cNvPr id="10" name="Arc 12"/>
        <xdr:cNvSpPr>
          <a:spLocks/>
        </xdr:cNvSpPr>
      </xdr:nvSpPr>
      <xdr:spPr>
        <a:xfrm rot="19926163">
          <a:off x="17325975" y="4648200"/>
          <a:ext cx="809625" cy="885825"/>
        </a:xfrm>
        <a:custGeom>
          <a:pathLst>
            <a:path fill="none" h="21487" w="21246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</a:path>
            <a:path stroke="0" h="21487" w="21246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  <a:lnTo>
                <a:pt x="0" y="21487"/>
              </a:lnTo>
              <a:lnTo>
                <a:pt x="2206" y="0"/>
              </a:lnTo>
              <a:close/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12</xdr:row>
      <xdr:rowOff>66675</xdr:rowOff>
    </xdr:from>
    <xdr:to>
      <xdr:col>22</xdr:col>
      <xdr:colOff>323850</xdr:colOff>
      <xdr:row>16</xdr:row>
      <xdr:rowOff>180975</xdr:rowOff>
    </xdr:to>
    <xdr:sp>
      <xdr:nvSpPr>
        <xdr:cNvPr id="11" name="Arc 13"/>
        <xdr:cNvSpPr>
          <a:spLocks/>
        </xdr:cNvSpPr>
      </xdr:nvSpPr>
      <xdr:spPr>
        <a:xfrm rot="19926163">
          <a:off x="19383375" y="2095500"/>
          <a:ext cx="800100" cy="847725"/>
        </a:xfrm>
        <a:custGeom>
          <a:pathLst>
            <a:path fill="none" h="21487" w="21246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</a:path>
            <a:path stroke="0" h="21487" w="21246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  <a:lnTo>
                <a:pt x="0" y="21487"/>
              </a:lnTo>
              <a:lnTo>
                <a:pt x="2206" y="0"/>
              </a:lnTo>
              <a:close/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37</xdr:row>
      <xdr:rowOff>161925</xdr:rowOff>
    </xdr:from>
    <xdr:to>
      <xdr:col>19</xdr:col>
      <xdr:colOff>19050</xdr:colOff>
      <xdr:row>42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15068550" y="7038975"/>
          <a:ext cx="2981325" cy="923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27</xdr:row>
      <xdr:rowOff>19050</xdr:rowOff>
    </xdr:from>
    <xdr:to>
      <xdr:col>17</xdr:col>
      <xdr:colOff>361950</xdr:colOff>
      <xdr:row>37</xdr:row>
      <xdr:rowOff>161925</xdr:rowOff>
    </xdr:to>
    <xdr:sp>
      <xdr:nvSpPr>
        <xdr:cNvPr id="13" name="Line 15"/>
        <xdr:cNvSpPr>
          <a:spLocks/>
        </xdr:cNvSpPr>
      </xdr:nvSpPr>
      <xdr:spPr>
        <a:xfrm flipV="1">
          <a:off x="15125700" y="4895850"/>
          <a:ext cx="2047875" cy="2143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95250</xdr:rowOff>
    </xdr:from>
    <xdr:to>
      <xdr:col>19</xdr:col>
      <xdr:colOff>190500</xdr:colOff>
      <xdr:row>42</xdr:row>
      <xdr:rowOff>85725</xdr:rowOff>
    </xdr:to>
    <xdr:sp>
      <xdr:nvSpPr>
        <xdr:cNvPr id="14" name="Line 16"/>
        <xdr:cNvSpPr>
          <a:spLocks/>
        </xdr:cNvSpPr>
      </xdr:nvSpPr>
      <xdr:spPr>
        <a:xfrm flipV="1">
          <a:off x="18049875" y="5172075"/>
          <a:ext cx="171450" cy="2790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352425</xdr:colOff>
      <xdr:row>7</xdr:row>
      <xdr:rowOff>142875</xdr:rowOff>
    </xdr:from>
    <xdr:to>
      <xdr:col>26</xdr:col>
      <xdr:colOff>323850</xdr:colOff>
      <xdr:row>12</xdr:row>
      <xdr:rowOff>152400</xdr:rowOff>
    </xdr:to>
    <xdr:sp>
      <xdr:nvSpPr>
        <xdr:cNvPr id="15" name="Line 17"/>
        <xdr:cNvSpPr>
          <a:spLocks/>
        </xdr:cNvSpPr>
      </xdr:nvSpPr>
      <xdr:spPr>
        <a:xfrm>
          <a:off x="19602450" y="1362075"/>
          <a:ext cx="2847975" cy="819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152400</xdr:rowOff>
    </xdr:from>
    <xdr:to>
      <xdr:col>26</xdr:col>
      <xdr:colOff>390525</xdr:colOff>
      <xdr:row>42</xdr:row>
      <xdr:rowOff>85725</xdr:rowOff>
    </xdr:to>
    <xdr:sp>
      <xdr:nvSpPr>
        <xdr:cNvPr id="16" name="Line 18"/>
        <xdr:cNvSpPr>
          <a:spLocks/>
        </xdr:cNvSpPr>
      </xdr:nvSpPr>
      <xdr:spPr>
        <a:xfrm flipV="1">
          <a:off x="18049875" y="2181225"/>
          <a:ext cx="4467225" cy="5781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12</xdr:row>
      <xdr:rowOff>152400</xdr:rowOff>
    </xdr:from>
    <xdr:to>
      <xdr:col>26</xdr:col>
      <xdr:colOff>390525</xdr:colOff>
      <xdr:row>14</xdr:row>
      <xdr:rowOff>161925</xdr:rowOff>
    </xdr:to>
    <xdr:sp>
      <xdr:nvSpPr>
        <xdr:cNvPr id="17" name="Line 19"/>
        <xdr:cNvSpPr>
          <a:spLocks/>
        </xdr:cNvSpPr>
      </xdr:nvSpPr>
      <xdr:spPr>
        <a:xfrm flipV="1">
          <a:off x="20326350" y="2181225"/>
          <a:ext cx="2190750" cy="361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7</xdr:row>
      <xdr:rowOff>142875</xdr:rowOff>
    </xdr:from>
    <xdr:to>
      <xdr:col>21</xdr:col>
      <xdr:colOff>390525</xdr:colOff>
      <xdr:row>13</xdr:row>
      <xdr:rowOff>171450</xdr:rowOff>
    </xdr:to>
    <xdr:sp>
      <xdr:nvSpPr>
        <xdr:cNvPr id="18" name="Line 20"/>
        <xdr:cNvSpPr>
          <a:spLocks/>
        </xdr:cNvSpPr>
      </xdr:nvSpPr>
      <xdr:spPr>
        <a:xfrm flipV="1">
          <a:off x="19278600" y="1362075"/>
          <a:ext cx="361950" cy="1000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14</xdr:row>
      <xdr:rowOff>161925</xdr:rowOff>
    </xdr:from>
    <xdr:to>
      <xdr:col>22</xdr:col>
      <xdr:colOff>466725</xdr:colOff>
      <xdr:row>28</xdr:row>
      <xdr:rowOff>95250</xdr:rowOff>
    </xdr:to>
    <xdr:sp>
      <xdr:nvSpPr>
        <xdr:cNvPr id="19" name="Line 21"/>
        <xdr:cNvSpPr>
          <a:spLocks/>
        </xdr:cNvSpPr>
      </xdr:nvSpPr>
      <xdr:spPr>
        <a:xfrm flipV="1">
          <a:off x="18221325" y="2543175"/>
          <a:ext cx="2105025" cy="2628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8</xdr:row>
      <xdr:rowOff>28575</xdr:rowOff>
    </xdr:from>
    <xdr:to>
      <xdr:col>21</xdr:col>
      <xdr:colOff>390525</xdr:colOff>
      <xdr:row>37</xdr:row>
      <xdr:rowOff>161925</xdr:rowOff>
    </xdr:to>
    <xdr:sp>
      <xdr:nvSpPr>
        <xdr:cNvPr id="20" name="Line 22"/>
        <xdr:cNvSpPr>
          <a:spLocks/>
        </xdr:cNvSpPr>
      </xdr:nvSpPr>
      <xdr:spPr>
        <a:xfrm flipV="1">
          <a:off x="15068550" y="1409700"/>
          <a:ext cx="4572000" cy="5629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13</xdr:row>
      <xdr:rowOff>171450</xdr:rowOff>
    </xdr:from>
    <xdr:to>
      <xdr:col>21</xdr:col>
      <xdr:colOff>28575</xdr:colOff>
      <xdr:row>27</xdr:row>
      <xdr:rowOff>19050</xdr:rowOff>
    </xdr:to>
    <xdr:sp>
      <xdr:nvSpPr>
        <xdr:cNvPr id="21" name="Line 23"/>
        <xdr:cNvSpPr>
          <a:spLocks/>
        </xdr:cNvSpPr>
      </xdr:nvSpPr>
      <xdr:spPr>
        <a:xfrm flipV="1">
          <a:off x="17173575" y="2362200"/>
          <a:ext cx="2105025" cy="2533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13</xdr:row>
      <xdr:rowOff>85725</xdr:rowOff>
    </xdr:from>
    <xdr:to>
      <xdr:col>21</xdr:col>
      <xdr:colOff>552450</xdr:colOff>
      <xdr:row>26</xdr:row>
      <xdr:rowOff>123825</xdr:rowOff>
    </xdr:to>
    <xdr:sp>
      <xdr:nvSpPr>
        <xdr:cNvPr id="22" name="Line 24"/>
        <xdr:cNvSpPr>
          <a:spLocks/>
        </xdr:cNvSpPr>
      </xdr:nvSpPr>
      <xdr:spPr>
        <a:xfrm flipV="1">
          <a:off x="17783175" y="2276475"/>
          <a:ext cx="201930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13</xdr:row>
      <xdr:rowOff>171450</xdr:rowOff>
    </xdr:from>
    <xdr:to>
      <xdr:col>22</xdr:col>
      <xdr:colOff>114300</xdr:colOff>
      <xdr:row>27</xdr:row>
      <xdr:rowOff>19050</xdr:rowOff>
    </xdr:to>
    <xdr:sp>
      <xdr:nvSpPr>
        <xdr:cNvPr id="23" name="Line 25"/>
        <xdr:cNvSpPr>
          <a:spLocks/>
        </xdr:cNvSpPr>
      </xdr:nvSpPr>
      <xdr:spPr>
        <a:xfrm flipV="1">
          <a:off x="17954625" y="2362200"/>
          <a:ext cx="201930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14</xdr:row>
      <xdr:rowOff>66675</xdr:rowOff>
    </xdr:from>
    <xdr:to>
      <xdr:col>22</xdr:col>
      <xdr:colOff>285750</xdr:colOff>
      <xdr:row>27</xdr:row>
      <xdr:rowOff>114300</xdr:rowOff>
    </xdr:to>
    <xdr:sp>
      <xdr:nvSpPr>
        <xdr:cNvPr id="24" name="Line 26"/>
        <xdr:cNvSpPr>
          <a:spLocks/>
        </xdr:cNvSpPr>
      </xdr:nvSpPr>
      <xdr:spPr>
        <a:xfrm flipV="1">
          <a:off x="18135600" y="2447925"/>
          <a:ext cx="2009775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13</xdr:row>
      <xdr:rowOff>57150</xdr:rowOff>
    </xdr:from>
    <xdr:to>
      <xdr:col>21</xdr:col>
      <xdr:colOff>371475</xdr:colOff>
      <xdr:row>26</xdr:row>
      <xdr:rowOff>95250</xdr:rowOff>
    </xdr:to>
    <xdr:sp>
      <xdr:nvSpPr>
        <xdr:cNvPr id="25" name="Line 27"/>
        <xdr:cNvSpPr>
          <a:spLocks/>
        </xdr:cNvSpPr>
      </xdr:nvSpPr>
      <xdr:spPr>
        <a:xfrm flipV="1">
          <a:off x="17611725" y="2247900"/>
          <a:ext cx="2009775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85725</xdr:rowOff>
    </xdr:from>
    <xdr:to>
      <xdr:col>21</xdr:col>
      <xdr:colOff>200025</xdr:colOff>
      <xdr:row>26</xdr:row>
      <xdr:rowOff>123825</xdr:rowOff>
    </xdr:to>
    <xdr:sp>
      <xdr:nvSpPr>
        <xdr:cNvPr id="26" name="Line 28"/>
        <xdr:cNvSpPr>
          <a:spLocks/>
        </xdr:cNvSpPr>
      </xdr:nvSpPr>
      <xdr:spPr>
        <a:xfrm flipV="1">
          <a:off x="17430750" y="2276475"/>
          <a:ext cx="201930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14</xdr:row>
      <xdr:rowOff>161925</xdr:rowOff>
    </xdr:from>
    <xdr:to>
      <xdr:col>24</xdr:col>
      <xdr:colOff>161925</xdr:colOff>
      <xdr:row>21</xdr:row>
      <xdr:rowOff>190500</xdr:rowOff>
    </xdr:to>
    <xdr:sp>
      <xdr:nvSpPr>
        <xdr:cNvPr id="27" name="Line 29"/>
        <xdr:cNvSpPr>
          <a:spLocks/>
        </xdr:cNvSpPr>
      </xdr:nvSpPr>
      <xdr:spPr>
        <a:xfrm>
          <a:off x="20278725" y="2543175"/>
          <a:ext cx="962025" cy="1333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85725</xdr:rowOff>
    </xdr:from>
    <xdr:to>
      <xdr:col>21</xdr:col>
      <xdr:colOff>66675</xdr:colOff>
      <xdr:row>17</xdr:row>
      <xdr:rowOff>28575</xdr:rowOff>
    </xdr:to>
    <xdr:sp>
      <xdr:nvSpPr>
        <xdr:cNvPr id="28" name="Line 30"/>
        <xdr:cNvSpPr>
          <a:spLocks/>
        </xdr:cNvSpPr>
      </xdr:nvSpPr>
      <xdr:spPr>
        <a:xfrm flipH="1">
          <a:off x="18345150" y="2276475"/>
          <a:ext cx="971550" cy="704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10</xdr:row>
      <xdr:rowOff>19050</xdr:rowOff>
    </xdr:from>
    <xdr:to>
      <xdr:col>28</xdr:col>
      <xdr:colOff>28575</xdr:colOff>
      <xdr:row>54</xdr:row>
      <xdr:rowOff>9525</xdr:rowOff>
    </xdr:to>
    <xdr:sp>
      <xdr:nvSpPr>
        <xdr:cNvPr id="29" name="Line 31"/>
        <xdr:cNvSpPr>
          <a:spLocks/>
        </xdr:cNvSpPr>
      </xdr:nvSpPr>
      <xdr:spPr>
        <a:xfrm flipV="1">
          <a:off x="17745075" y="1724025"/>
          <a:ext cx="5476875" cy="8181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0</xdr:row>
      <xdr:rowOff>0</xdr:rowOff>
    </xdr:from>
    <xdr:to>
      <xdr:col>19</xdr:col>
      <xdr:colOff>152400</xdr:colOff>
      <xdr:row>42</xdr:row>
      <xdr:rowOff>152400</xdr:rowOff>
    </xdr:to>
    <xdr:sp>
      <xdr:nvSpPr>
        <xdr:cNvPr id="30" name="Line 32"/>
        <xdr:cNvSpPr>
          <a:spLocks/>
        </xdr:cNvSpPr>
      </xdr:nvSpPr>
      <xdr:spPr>
        <a:xfrm flipV="1">
          <a:off x="12506325" y="0"/>
          <a:ext cx="5676900" cy="8029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0</xdr:row>
      <xdr:rowOff>0</xdr:rowOff>
    </xdr:from>
    <xdr:to>
      <xdr:col>28</xdr:col>
      <xdr:colOff>47625</xdr:colOff>
      <xdr:row>10</xdr:row>
      <xdr:rowOff>0</xdr:rowOff>
    </xdr:to>
    <xdr:sp>
      <xdr:nvSpPr>
        <xdr:cNvPr id="31" name="Line 33"/>
        <xdr:cNvSpPr>
          <a:spLocks/>
        </xdr:cNvSpPr>
      </xdr:nvSpPr>
      <xdr:spPr>
        <a:xfrm>
          <a:off x="18145125" y="0"/>
          <a:ext cx="5095875" cy="1704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42</xdr:row>
      <xdr:rowOff>123825</xdr:rowOff>
    </xdr:from>
    <xdr:to>
      <xdr:col>18</xdr:col>
      <xdr:colOff>323850</xdr:colOff>
      <xdr:row>53</xdr:row>
      <xdr:rowOff>152400</xdr:rowOff>
    </xdr:to>
    <xdr:sp>
      <xdr:nvSpPr>
        <xdr:cNvPr id="32" name="Line 34"/>
        <xdr:cNvSpPr>
          <a:spLocks/>
        </xdr:cNvSpPr>
      </xdr:nvSpPr>
      <xdr:spPr>
        <a:xfrm>
          <a:off x="12477750" y="8001000"/>
          <a:ext cx="5267325" cy="1885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39</xdr:row>
      <xdr:rowOff>171450</xdr:rowOff>
    </xdr:from>
    <xdr:to>
      <xdr:col>22</xdr:col>
      <xdr:colOff>438150</xdr:colOff>
      <xdr:row>43</xdr:row>
      <xdr:rowOff>200025</xdr:rowOff>
    </xdr:to>
    <xdr:sp>
      <xdr:nvSpPr>
        <xdr:cNvPr id="33" name="Text Box 35"/>
        <xdr:cNvSpPr txBox="1">
          <a:spLocks noChangeArrowheads="1"/>
        </xdr:cNvSpPr>
      </xdr:nvSpPr>
      <xdr:spPr>
        <a:xfrm rot="279409">
          <a:off x="19354800" y="7448550"/>
          <a:ext cx="942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Largo de la plataforma de llenado
</a:t>
          </a:r>
        </a:p>
      </xdr:txBody>
    </xdr:sp>
    <xdr:clientData/>
  </xdr:twoCellAnchor>
  <xdr:twoCellAnchor>
    <xdr:from>
      <xdr:col>23</xdr:col>
      <xdr:colOff>285750</xdr:colOff>
      <xdr:row>30</xdr:row>
      <xdr:rowOff>123825</xdr:rowOff>
    </xdr:from>
    <xdr:to>
      <xdr:col>24</xdr:col>
      <xdr:colOff>409575</xdr:colOff>
      <xdr:row>36</xdr:row>
      <xdr:rowOff>142875</xdr:rowOff>
    </xdr:to>
    <xdr:sp>
      <xdr:nvSpPr>
        <xdr:cNvPr id="34" name="Text Box 36"/>
        <xdr:cNvSpPr txBox="1">
          <a:spLocks noChangeArrowheads="1"/>
        </xdr:cNvSpPr>
      </xdr:nvSpPr>
      <xdr:spPr>
        <a:xfrm rot="18664445">
          <a:off x="20754975" y="5600700"/>
          <a:ext cx="7334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95250</xdr:colOff>
      <xdr:row>18</xdr:row>
      <xdr:rowOff>66675</xdr:rowOff>
    </xdr:from>
    <xdr:to>
      <xdr:col>28</xdr:col>
      <xdr:colOff>19050</xdr:colOff>
      <xdr:row>23</xdr:row>
      <xdr:rowOff>66675</xdr:rowOff>
    </xdr:to>
    <xdr:sp>
      <xdr:nvSpPr>
        <xdr:cNvPr id="35" name="Text Box 37"/>
        <xdr:cNvSpPr txBox="1">
          <a:spLocks noChangeArrowheads="1"/>
        </xdr:cNvSpPr>
      </xdr:nvSpPr>
      <xdr:spPr>
        <a:xfrm rot="18664445">
          <a:off x="22221825" y="3181350"/>
          <a:ext cx="990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Largo de la plataforma posterior
</a:t>
          </a:r>
        </a:p>
      </xdr:txBody>
    </xdr:sp>
    <xdr:clientData/>
  </xdr:twoCellAnchor>
  <xdr:twoCellAnchor>
    <xdr:from>
      <xdr:col>15</xdr:col>
      <xdr:colOff>66675</xdr:colOff>
      <xdr:row>40</xdr:row>
      <xdr:rowOff>133350</xdr:rowOff>
    </xdr:from>
    <xdr:to>
      <xdr:col>17</xdr:col>
      <xdr:colOff>161925</xdr:colOff>
      <xdr:row>44</xdr:row>
      <xdr:rowOff>28575</xdr:rowOff>
    </xdr:to>
    <xdr:sp>
      <xdr:nvSpPr>
        <xdr:cNvPr id="36" name="Text Box 38"/>
        <xdr:cNvSpPr txBox="1">
          <a:spLocks noChangeArrowheads="1"/>
        </xdr:cNvSpPr>
      </xdr:nvSpPr>
      <xdr:spPr>
        <a:xfrm rot="1396374">
          <a:off x="15659100" y="7610475"/>
          <a:ext cx="1314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Ancho de la superficie inferior
</a:t>
          </a:r>
        </a:p>
      </xdr:txBody>
    </xdr:sp>
    <xdr:clientData/>
  </xdr:twoCellAnchor>
  <xdr:twoCellAnchor>
    <xdr:from>
      <xdr:col>17</xdr:col>
      <xdr:colOff>552450</xdr:colOff>
      <xdr:row>29</xdr:row>
      <xdr:rowOff>66675</xdr:rowOff>
    </xdr:from>
    <xdr:to>
      <xdr:col>19</xdr:col>
      <xdr:colOff>66675</xdr:colOff>
      <xdr:row>32</xdr:row>
      <xdr:rowOff>142875</xdr:rowOff>
    </xdr:to>
    <xdr:sp>
      <xdr:nvSpPr>
        <xdr:cNvPr id="37" name="Text Box 39"/>
        <xdr:cNvSpPr txBox="1">
          <a:spLocks noChangeArrowheads="1"/>
        </xdr:cNvSpPr>
      </xdr:nvSpPr>
      <xdr:spPr>
        <a:xfrm rot="1396374">
          <a:off x="17364075" y="5343525"/>
          <a:ext cx="7334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Ancho del tope
</a:t>
          </a:r>
        </a:p>
      </xdr:txBody>
    </xdr:sp>
    <xdr:clientData/>
  </xdr:twoCellAnchor>
  <xdr:twoCellAnchor>
    <xdr:from>
      <xdr:col>16</xdr:col>
      <xdr:colOff>476250</xdr:colOff>
      <xdr:row>19</xdr:row>
      <xdr:rowOff>38100</xdr:rowOff>
    </xdr:from>
    <xdr:to>
      <xdr:col>18</xdr:col>
      <xdr:colOff>247650</xdr:colOff>
      <xdr:row>23</xdr:row>
      <xdr:rowOff>95250</xdr:rowOff>
    </xdr:to>
    <xdr:sp>
      <xdr:nvSpPr>
        <xdr:cNvPr id="38" name="Text Box 40"/>
        <xdr:cNvSpPr txBox="1">
          <a:spLocks noChangeArrowheads="1"/>
        </xdr:cNvSpPr>
      </xdr:nvSpPr>
      <xdr:spPr>
        <a:xfrm rot="1396374">
          <a:off x="16678275" y="3343275"/>
          <a:ext cx="990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de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"buffer"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lateral</a:t>
          </a:r>
        </a:p>
      </xdr:txBody>
    </xdr:sp>
    <xdr:clientData/>
  </xdr:twoCellAnchor>
  <xdr:twoCellAnchor>
    <xdr:from>
      <xdr:col>23</xdr:col>
      <xdr:colOff>342900</xdr:colOff>
      <xdr:row>6</xdr:row>
      <xdr:rowOff>114300</xdr:rowOff>
    </xdr:from>
    <xdr:to>
      <xdr:col>25</xdr:col>
      <xdr:colOff>0</xdr:colOff>
      <xdr:row>11</xdr:row>
      <xdr:rowOff>161925</xdr:rowOff>
    </xdr:to>
    <xdr:sp>
      <xdr:nvSpPr>
        <xdr:cNvPr id="39" name="Text Box 41"/>
        <xdr:cNvSpPr txBox="1">
          <a:spLocks noChangeArrowheads="1"/>
        </xdr:cNvSpPr>
      </xdr:nvSpPr>
      <xdr:spPr>
        <a:xfrm rot="1396374">
          <a:off x="20812125" y="1171575"/>
          <a:ext cx="8763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de "buffer" del extremo</a:t>
          </a:r>
        </a:p>
      </xdr:txBody>
    </xdr:sp>
    <xdr:clientData/>
  </xdr:twoCellAnchor>
  <xdr:twoCellAnchor>
    <xdr:from>
      <xdr:col>19</xdr:col>
      <xdr:colOff>276225</xdr:colOff>
      <xdr:row>43</xdr:row>
      <xdr:rowOff>47625</xdr:rowOff>
    </xdr:from>
    <xdr:to>
      <xdr:col>21</xdr:col>
      <xdr:colOff>266700</xdr:colOff>
      <xdr:row>46</xdr:row>
      <xdr:rowOff>57150</xdr:rowOff>
    </xdr:to>
    <xdr:sp>
      <xdr:nvSpPr>
        <xdr:cNvPr id="40" name="Line 42"/>
        <xdr:cNvSpPr>
          <a:spLocks/>
        </xdr:cNvSpPr>
      </xdr:nvSpPr>
      <xdr:spPr>
        <a:xfrm>
          <a:off x="18307050" y="8124825"/>
          <a:ext cx="1209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457200</xdr:colOff>
      <xdr:row>13</xdr:row>
      <xdr:rowOff>104775</xdr:rowOff>
    </xdr:from>
    <xdr:to>
      <xdr:col>28</xdr:col>
      <xdr:colOff>66675</xdr:colOff>
      <xdr:row>15</xdr:row>
      <xdr:rowOff>19050</xdr:rowOff>
    </xdr:to>
    <xdr:sp>
      <xdr:nvSpPr>
        <xdr:cNvPr id="41" name="Line 43"/>
        <xdr:cNvSpPr>
          <a:spLocks/>
        </xdr:cNvSpPr>
      </xdr:nvSpPr>
      <xdr:spPr>
        <a:xfrm>
          <a:off x="22583775" y="2295525"/>
          <a:ext cx="676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22</xdr:row>
      <xdr:rowOff>123825</xdr:rowOff>
    </xdr:from>
    <xdr:to>
      <xdr:col>25</xdr:col>
      <xdr:colOff>428625</xdr:colOff>
      <xdr:row>24</xdr:row>
      <xdr:rowOff>38100</xdr:rowOff>
    </xdr:to>
    <xdr:sp>
      <xdr:nvSpPr>
        <xdr:cNvPr id="42" name="Line 44"/>
        <xdr:cNvSpPr>
          <a:spLocks/>
        </xdr:cNvSpPr>
      </xdr:nvSpPr>
      <xdr:spPr>
        <a:xfrm>
          <a:off x="21421725" y="4000500"/>
          <a:ext cx="6953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36</xdr:row>
      <xdr:rowOff>19050</xdr:rowOff>
    </xdr:from>
    <xdr:to>
      <xdr:col>22</xdr:col>
      <xdr:colOff>561975</xdr:colOff>
      <xdr:row>38</xdr:row>
      <xdr:rowOff>38100</xdr:rowOff>
    </xdr:to>
    <xdr:sp>
      <xdr:nvSpPr>
        <xdr:cNvPr id="43" name="Line 45"/>
        <xdr:cNvSpPr>
          <a:spLocks/>
        </xdr:cNvSpPr>
      </xdr:nvSpPr>
      <xdr:spPr>
        <a:xfrm>
          <a:off x="19402425" y="6696075"/>
          <a:ext cx="1019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31</xdr:row>
      <xdr:rowOff>171450</xdr:rowOff>
    </xdr:from>
    <xdr:to>
      <xdr:col>23</xdr:col>
      <xdr:colOff>390525</xdr:colOff>
      <xdr:row>37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20069175" y="5848350"/>
          <a:ext cx="790575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24</xdr:row>
      <xdr:rowOff>28575</xdr:rowOff>
    </xdr:from>
    <xdr:to>
      <xdr:col>25</xdr:col>
      <xdr:colOff>209550</xdr:colOff>
      <xdr:row>29</xdr:row>
      <xdr:rowOff>95250</xdr:rowOff>
    </xdr:to>
    <xdr:sp>
      <xdr:nvSpPr>
        <xdr:cNvPr id="45" name="Line 47"/>
        <xdr:cNvSpPr>
          <a:spLocks/>
        </xdr:cNvSpPr>
      </xdr:nvSpPr>
      <xdr:spPr>
        <a:xfrm flipV="1">
          <a:off x="21145500" y="4305300"/>
          <a:ext cx="7524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285750</xdr:colOff>
      <xdr:row>20</xdr:row>
      <xdr:rowOff>180975</xdr:rowOff>
    </xdr:from>
    <xdr:to>
      <xdr:col>26</xdr:col>
      <xdr:colOff>142875</xdr:colOff>
      <xdr:row>23</xdr:row>
      <xdr:rowOff>114300</xdr:rowOff>
    </xdr:to>
    <xdr:sp>
      <xdr:nvSpPr>
        <xdr:cNvPr id="46" name="Line 48"/>
        <xdr:cNvSpPr>
          <a:spLocks/>
        </xdr:cNvSpPr>
      </xdr:nvSpPr>
      <xdr:spPr>
        <a:xfrm flipH="1">
          <a:off x="21974175" y="3676650"/>
          <a:ext cx="295275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14</xdr:row>
      <xdr:rowOff>114300</xdr:rowOff>
    </xdr:from>
    <xdr:to>
      <xdr:col>27</xdr:col>
      <xdr:colOff>409575</xdr:colOff>
      <xdr:row>17</xdr:row>
      <xdr:rowOff>133350</xdr:rowOff>
    </xdr:to>
    <xdr:sp>
      <xdr:nvSpPr>
        <xdr:cNvPr id="47" name="Line 49"/>
        <xdr:cNvSpPr>
          <a:spLocks/>
        </xdr:cNvSpPr>
      </xdr:nvSpPr>
      <xdr:spPr>
        <a:xfrm flipV="1">
          <a:off x="22612350" y="2495550"/>
          <a:ext cx="381000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266700</xdr:colOff>
      <xdr:row>45</xdr:row>
      <xdr:rowOff>57150</xdr:rowOff>
    </xdr:from>
    <xdr:to>
      <xdr:col>20</xdr:col>
      <xdr:colOff>533400</xdr:colOff>
      <xdr:row>47</xdr:row>
      <xdr:rowOff>28575</xdr:rowOff>
    </xdr:to>
    <xdr:sp>
      <xdr:nvSpPr>
        <xdr:cNvPr id="48" name="Line 50"/>
        <xdr:cNvSpPr>
          <a:spLocks/>
        </xdr:cNvSpPr>
      </xdr:nvSpPr>
      <xdr:spPr>
        <a:xfrm flipV="1">
          <a:off x="18907125" y="8496300"/>
          <a:ext cx="266700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43</xdr:row>
      <xdr:rowOff>66675</xdr:rowOff>
    </xdr:from>
    <xdr:to>
      <xdr:col>18</xdr:col>
      <xdr:colOff>523875</xdr:colOff>
      <xdr:row>45</xdr:row>
      <xdr:rowOff>123825</xdr:rowOff>
    </xdr:to>
    <xdr:sp>
      <xdr:nvSpPr>
        <xdr:cNvPr id="49" name="Line 51"/>
        <xdr:cNvSpPr>
          <a:spLocks/>
        </xdr:cNvSpPr>
      </xdr:nvSpPr>
      <xdr:spPr>
        <a:xfrm flipH="1">
          <a:off x="17592675" y="81438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38</xdr:row>
      <xdr:rowOff>38100</xdr:rowOff>
    </xdr:from>
    <xdr:to>
      <xdr:col>13</xdr:col>
      <xdr:colOff>571500</xdr:colOff>
      <xdr:row>40</xdr:row>
      <xdr:rowOff>57150</xdr:rowOff>
    </xdr:to>
    <xdr:sp>
      <xdr:nvSpPr>
        <xdr:cNvPr id="50" name="Line 52"/>
        <xdr:cNvSpPr>
          <a:spLocks/>
        </xdr:cNvSpPr>
      </xdr:nvSpPr>
      <xdr:spPr>
        <a:xfrm flipH="1">
          <a:off x="14601825" y="7115175"/>
          <a:ext cx="342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42</xdr:row>
      <xdr:rowOff>142875</xdr:rowOff>
    </xdr:from>
    <xdr:to>
      <xdr:col>18</xdr:col>
      <xdr:colOff>266700</xdr:colOff>
      <xdr:row>44</xdr:row>
      <xdr:rowOff>47625</xdr:rowOff>
    </xdr:to>
    <xdr:sp>
      <xdr:nvSpPr>
        <xdr:cNvPr id="51" name="Line 53"/>
        <xdr:cNvSpPr>
          <a:spLocks/>
        </xdr:cNvSpPr>
      </xdr:nvSpPr>
      <xdr:spPr>
        <a:xfrm>
          <a:off x="16725900" y="8020050"/>
          <a:ext cx="962025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39</xdr:row>
      <xdr:rowOff>47625</xdr:rowOff>
    </xdr:from>
    <xdr:to>
      <xdr:col>14</xdr:col>
      <xdr:colOff>400050</xdr:colOff>
      <xdr:row>40</xdr:row>
      <xdr:rowOff>57150</xdr:rowOff>
    </xdr:to>
    <xdr:sp>
      <xdr:nvSpPr>
        <xdr:cNvPr id="52" name="Line 54"/>
        <xdr:cNvSpPr>
          <a:spLocks/>
        </xdr:cNvSpPr>
      </xdr:nvSpPr>
      <xdr:spPr>
        <a:xfrm flipH="1" flipV="1">
          <a:off x="14773275" y="7324725"/>
          <a:ext cx="60960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28</xdr:row>
      <xdr:rowOff>190500</xdr:rowOff>
    </xdr:from>
    <xdr:to>
      <xdr:col>17</xdr:col>
      <xdr:colOff>552450</xdr:colOff>
      <xdr:row>29</xdr:row>
      <xdr:rowOff>95250</xdr:rowOff>
    </xdr:to>
    <xdr:sp>
      <xdr:nvSpPr>
        <xdr:cNvPr id="53" name="Line 55"/>
        <xdr:cNvSpPr>
          <a:spLocks/>
        </xdr:cNvSpPr>
      </xdr:nvSpPr>
      <xdr:spPr>
        <a:xfrm flipH="1" flipV="1">
          <a:off x="17192625" y="5267325"/>
          <a:ext cx="17145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85725</xdr:rowOff>
    </xdr:from>
    <xdr:to>
      <xdr:col>19</xdr:col>
      <xdr:colOff>152400</xdr:colOff>
      <xdr:row>30</xdr:row>
      <xdr:rowOff>180975</xdr:rowOff>
    </xdr:to>
    <xdr:sp>
      <xdr:nvSpPr>
        <xdr:cNvPr id="54" name="Line 56"/>
        <xdr:cNvSpPr>
          <a:spLocks/>
        </xdr:cNvSpPr>
      </xdr:nvSpPr>
      <xdr:spPr>
        <a:xfrm>
          <a:off x="17916525" y="5562600"/>
          <a:ext cx="26670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18</xdr:row>
      <xdr:rowOff>95250</xdr:rowOff>
    </xdr:from>
    <xdr:to>
      <xdr:col>16</xdr:col>
      <xdr:colOff>323850</xdr:colOff>
      <xdr:row>18</xdr:row>
      <xdr:rowOff>190500</xdr:rowOff>
    </xdr:to>
    <xdr:sp>
      <xdr:nvSpPr>
        <xdr:cNvPr id="55" name="Line 57"/>
        <xdr:cNvSpPr>
          <a:spLocks/>
        </xdr:cNvSpPr>
      </xdr:nvSpPr>
      <xdr:spPr>
        <a:xfrm flipH="1" flipV="1">
          <a:off x="16344900" y="3209925"/>
          <a:ext cx="180975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504825</xdr:colOff>
      <xdr:row>21</xdr:row>
      <xdr:rowOff>9525</xdr:rowOff>
    </xdr:from>
    <xdr:to>
      <xdr:col>18</xdr:col>
      <xdr:colOff>161925</xdr:colOff>
      <xdr:row>21</xdr:row>
      <xdr:rowOff>104775</xdr:rowOff>
    </xdr:to>
    <xdr:sp>
      <xdr:nvSpPr>
        <xdr:cNvPr id="56" name="Line 58"/>
        <xdr:cNvSpPr>
          <a:spLocks/>
        </xdr:cNvSpPr>
      </xdr:nvSpPr>
      <xdr:spPr>
        <a:xfrm>
          <a:off x="17316450" y="3695700"/>
          <a:ext cx="26670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6</xdr:row>
      <xdr:rowOff>123825</xdr:rowOff>
    </xdr:from>
    <xdr:to>
      <xdr:col>25</xdr:col>
      <xdr:colOff>180975</xdr:colOff>
      <xdr:row>10</xdr:row>
      <xdr:rowOff>133350</xdr:rowOff>
    </xdr:to>
    <xdr:sp>
      <xdr:nvSpPr>
        <xdr:cNvPr id="57" name="Line 59"/>
        <xdr:cNvSpPr>
          <a:spLocks/>
        </xdr:cNvSpPr>
      </xdr:nvSpPr>
      <xdr:spPr>
        <a:xfrm flipV="1">
          <a:off x="21507450" y="1181100"/>
          <a:ext cx="361950" cy="6572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352425</xdr:colOff>
      <xdr:row>34</xdr:row>
      <xdr:rowOff>9525</xdr:rowOff>
    </xdr:from>
    <xdr:to>
      <xdr:col>24</xdr:col>
      <xdr:colOff>352425</xdr:colOff>
      <xdr:row>39</xdr:row>
      <xdr:rowOff>152400</xdr:rowOff>
    </xdr:to>
    <xdr:sp>
      <xdr:nvSpPr>
        <xdr:cNvPr id="58" name="Line 60"/>
        <xdr:cNvSpPr>
          <a:spLocks/>
        </xdr:cNvSpPr>
      </xdr:nvSpPr>
      <xdr:spPr>
        <a:xfrm>
          <a:off x="21431250" y="6286500"/>
          <a:ext cx="0" cy="114300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35</xdr:row>
      <xdr:rowOff>161925</xdr:rowOff>
    </xdr:from>
    <xdr:to>
      <xdr:col>26</xdr:col>
      <xdr:colOff>180975</xdr:colOff>
      <xdr:row>41</xdr:row>
      <xdr:rowOff>114300</xdr:rowOff>
    </xdr:to>
    <xdr:sp>
      <xdr:nvSpPr>
        <xdr:cNvPr id="59" name="Line 61"/>
        <xdr:cNvSpPr>
          <a:spLocks/>
        </xdr:cNvSpPr>
      </xdr:nvSpPr>
      <xdr:spPr>
        <a:xfrm>
          <a:off x="22307550" y="6638925"/>
          <a:ext cx="0" cy="115252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352425</xdr:colOff>
      <xdr:row>33</xdr:row>
      <xdr:rowOff>161925</xdr:rowOff>
    </xdr:from>
    <xdr:to>
      <xdr:col>26</xdr:col>
      <xdr:colOff>180975</xdr:colOff>
      <xdr:row>35</xdr:row>
      <xdr:rowOff>180975</xdr:rowOff>
    </xdr:to>
    <xdr:sp>
      <xdr:nvSpPr>
        <xdr:cNvPr id="60" name="Line 62"/>
        <xdr:cNvSpPr>
          <a:spLocks/>
        </xdr:cNvSpPr>
      </xdr:nvSpPr>
      <xdr:spPr>
        <a:xfrm>
          <a:off x="21431250" y="6238875"/>
          <a:ext cx="876300" cy="41910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504825</xdr:colOff>
      <xdr:row>32</xdr:row>
      <xdr:rowOff>133350</xdr:rowOff>
    </xdr:from>
    <xdr:to>
      <xdr:col>26</xdr:col>
      <xdr:colOff>85725</xdr:colOff>
      <xdr:row>37</xdr:row>
      <xdr:rowOff>123825</xdr:rowOff>
    </xdr:to>
    <xdr:sp>
      <xdr:nvSpPr>
        <xdr:cNvPr id="61" name="Arc 63"/>
        <xdr:cNvSpPr>
          <a:spLocks/>
        </xdr:cNvSpPr>
      </xdr:nvSpPr>
      <xdr:spPr>
        <a:xfrm rot="19926163">
          <a:off x="21583650" y="6010275"/>
          <a:ext cx="628650" cy="990600"/>
        </a:xfrm>
        <a:custGeom>
          <a:pathLst>
            <a:path fill="none" h="21487" w="21246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</a:path>
            <a:path stroke="0" h="21487" w="21246">
              <a:moveTo>
                <a:pt x="2206" y="0"/>
              </a:moveTo>
              <a:cubicBezTo>
                <a:pt x="11758" y="981"/>
                <a:pt x="19515" y="8149"/>
                <a:pt x="21246" y="17593"/>
              </a:cubicBezTo>
              <a:lnTo>
                <a:pt x="0" y="21487"/>
              </a:lnTo>
              <a:lnTo>
                <a:pt x="2206" y="0"/>
              </a:lnTo>
              <a:close/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352425</xdr:colOff>
      <xdr:row>39</xdr:row>
      <xdr:rowOff>152400</xdr:rowOff>
    </xdr:from>
    <xdr:to>
      <xdr:col>26</xdr:col>
      <xdr:colOff>180975</xdr:colOff>
      <xdr:row>41</xdr:row>
      <xdr:rowOff>171450</xdr:rowOff>
    </xdr:to>
    <xdr:sp>
      <xdr:nvSpPr>
        <xdr:cNvPr id="62" name="Line 64"/>
        <xdr:cNvSpPr>
          <a:spLocks/>
        </xdr:cNvSpPr>
      </xdr:nvSpPr>
      <xdr:spPr>
        <a:xfrm>
          <a:off x="21431250" y="7429500"/>
          <a:ext cx="876300" cy="41910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466725</xdr:colOff>
      <xdr:row>44</xdr:row>
      <xdr:rowOff>28575</xdr:rowOff>
    </xdr:from>
    <xdr:to>
      <xdr:col>26</xdr:col>
      <xdr:colOff>276225</xdr:colOff>
      <xdr:row>48</xdr:row>
      <xdr:rowOff>66675</xdr:rowOff>
    </xdr:to>
    <xdr:sp>
      <xdr:nvSpPr>
        <xdr:cNvPr id="63" name="Text Box 65"/>
        <xdr:cNvSpPr txBox="1">
          <a:spLocks noChangeArrowheads="1"/>
        </xdr:cNvSpPr>
      </xdr:nvSpPr>
      <xdr:spPr>
        <a:xfrm rot="1396374">
          <a:off x="21545550" y="8305800"/>
          <a:ext cx="8572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Ancho del tope
</a:t>
          </a:r>
        </a:p>
      </xdr:txBody>
    </xdr:sp>
    <xdr:clientData/>
  </xdr:twoCellAnchor>
  <xdr:twoCellAnchor>
    <xdr:from>
      <xdr:col>24</xdr:col>
      <xdr:colOff>352425</xdr:colOff>
      <xdr:row>43</xdr:row>
      <xdr:rowOff>180975</xdr:rowOff>
    </xdr:from>
    <xdr:to>
      <xdr:col>24</xdr:col>
      <xdr:colOff>523875</xdr:colOff>
      <xdr:row>44</xdr:row>
      <xdr:rowOff>85725</xdr:rowOff>
    </xdr:to>
    <xdr:sp>
      <xdr:nvSpPr>
        <xdr:cNvPr id="64" name="Line 66"/>
        <xdr:cNvSpPr>
          <a:spLocks/>
        </xdr:cNvSpPr>
      </xdr:nvSpPr>
      <xdr:spPr>
        <a:xfrm flipH="1" flipV="1">
          <a:off x="21431250" y="8258175"/>
          <a:ext cx="17145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46</xdr:row>
      <xdr:rowOff>66675</xdr:rowOff>
    </xdr:from>
    <xdr:to>
      <xdr:col>26</xdr:col>
      <xdr:colOff>95250</xdr:colOff>
      <xdr:row>47</xdr:row>
      <xdr:rowOff>9525</xdr:rowOff>
    </xdr:to>
    <xdr:sp>
      <xdr:nvSpPr>
        <xdr:cNvPr id="65" name="Line 67"/>
        <xdr:cNvSpPr>
          <a:spLocks/>
        </xdr:cNvSpPr>
      </xdr:nvSpPr>
      <xdr:spPr>
        <a:xfrm>
          <a:off x="22126575" y="8667750"/>
          <a:ext cx="9525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352425</xdr:colOff>
      <xdr:row>36</xdr:row>
      <xdr:rowOff>28575</xdr:rowOff>
    </xdr:from>
    <xdr:to>
      <xdr:col>27</xdr:col>
      <xdr:colOff>276225</xdr:colOff>
      <xdr:row>36</xdr:row>
      <xdr:rowOff>28575</xdr:rowOff>
    </xdr:to>
    <xdr:sp>
      <xdr:nvSpPr>
        <xdr:cNvPr id="66" name="Line 68"/>
        <xdr:cNvSpPr>
          <a:spLocks/>
        </xdr:cNvSpPr>
      </xdr:nvSpPr>
      <xdr:spPr>
        <a:xfrm>
          <a:off x="22479000" y="6705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352425</xdr:colOff>
      <xdr:row>41</xdr:row>
      <xdr:rowOff>171450</xdr:rowOff>
    </xdr:from>
    <xdr:to>
      <xdr:col>27</xdr:col>
      <xdr:colOff>276225</xdr:colOff>
      <xdr:row>41</xdr:row>
      <xdr:rowOff>171450</xdr:rowOff>
    </xdr:to>
    <xdr:sp>
      <xdr:nvSpPr>
        <xdr:cNvPr id="67" name="Line 69"/>
        <xdr:cNvSpPr>
          <a:spLocks/>
        </xdr:cNvSpPr>
      </xdr:nvSpPr>
      <xdr:spPr>
        <a:xfrm>
          <a:off x="22479000" y="7848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33</xdr:row>
      <xdr:rowOff>76200</xdr:rowOff>
    </xdr:from>
    <xdr:to>
      <xdr:col>27</xdr:col>
      <xdr:colOff>361950</xdr:colOff>
      <xdr:row>33</xdr:row>
      <xdr:rowOff>76200</xdr:rowOff>
    </xdr:to>
    <xdr:sp>
      <xdr:nvSpPr>
        <xdr:cNvPr id="68" name="Line 70"/>
        <xdr:cNvSpPr>
          <a:spLocks/>
        </xdr:cNvSpPr>
      </xdr:nvSpPr>
      <xdr:spPr>
        <a:xfrm>
          <a:off x="22126575" y="6153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42</xdr:row>
      <xdr:rowOff>76200</xdr:rowOff>
    </xdr:from>
    <xdr:to>
      <xdr:col>26</xdr:col>
      <xdr:colOff>180975</xdr:colOff>
      <xdr:row>47</xdr:row>
      <xdr:rowOff>9525</xdr:rowOff>
    </xdr:to>
    <xdr:sp>
      <xdr:nvSpPr>
        <xdr:cNvPr id="69" name="Line 71"/>
        <xdr:cNvSpPr>
          <a:spLocks/>
        </xdr:cNvSpPr>
      </xdr:nvSpPr>
      <xdr:spPr>
        <a:xfrm>
          <a:off x="22307550" y="79533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40</xdr:row>
      <xdr:rowOff>57150</xdr:rowOff>
    </xdr:from>
    <xdr:to>
      <xdr:col>24</xdr:col>
      <xdr:colOff>323850</xdr:colOff>
      <xdr:row>44</xdr:row>
      <xdr:rowOff>85725</xdr:rowOff>
    </xdr:to>
    <xdr:sp>
      <xdr:nvSpPr>
        <xdr:cNvPr id="70" name="Line 72"/>
        <xdr:cNvSpPr>
          <a:spLocks/>
        </xdr:cNvSpPr>
      </xdr:nvSpPr>
      <xdr:spPr>
        <a:xfrm>
          <a:off x="21402675" y="75342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333375</xdr:colOff>
      <xdr:row>37</xdr:row>
      <xdr:rowOff>133350</xdr:rowOff>
    </xdr:from>
    <xdr:to>
      <xdr:col>28</xdr:col>
      <xdr:colOff>0</xdr:colOff>
      <xdr:row>40</xdr:row>
      <xdr:rowOff>28575</xdr:rowOff>
    </xdr:to>
    <xdr:sp>
      <xdr:nvSpPr>
        <xdr:cNvPr id="71" name="Text Box 73"/>
        <xdr:cNvSpPr txBox="1">
          <a:spLocks noChangeArrowheads="1"/>
        </xdr:cNvSpPr>
      </xdr:nvSpPr>
      <xdr:spPr>
        <a:xfrm>
          <a:off x="22459950" y="7010400"/>
          <a:ext cx="733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Profundidad de la pila</a:t>
          </a:r>
        </a:p>
      </xdr:txBody>
    </xdr:sp>
    <xdr:clientData/>
  </xdr:twoCellAnchor>
  <xdr:twoCellAnchor>
    <xdr:from>
      <xdr:col>26</xdr:col>
      <xdr:colOff>171450</xdr:colOff>
      <xdr:row>33</xdr:row>
      <xdr:rowOff>57150</xdr:rowOff>
    </xdr:from>
    <xdr:to>
      <xdr:col>27</xdr:col>
      <xdr:colOff>447675</xdr:colOff>
      <xdr:row>35</xdr:row>
      <xdr:rowOff>142875</xdr:rowOff>
    </xdr:to>
    <xdr:sp>
      <xdr:nvSpPr>
        <xdr:cNvPr id="72" name="Text Box 74"/>
        <xdr:cNvSpPr txBox="1">
          <a:spLocks noChangeArrowheads="1"/>
        </xdr:cNvSpPr>
      </xdr:nvSpPr>
      <xdr:spPr>
        <a:xfrm>
          <a:off x="22298025" y="6134100"/>
          <a:ext cx="733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Altura de la cúpula</a:t>
          </a:r>
        </a:p>
      </xdr:txBody>
    </xdr:sp>
    <xdr:clientData/>
  </xdr:twoCellAnchor>
  <xdr:twoCellAnchor>
    <xdr:from>
      <xdr:col>26</xdr:col>
      <xdr:colOff>447675</xdr:colOff>
      <xdr:row>30</xdr:row>
      <xdr:rowOff>85725</xdr:rowOff>
    </xdr:from>
    <xdr:to>
      <xdr:col>26</xdr:col>
      <xdr:colOff>447675</xdr:colOff>
      <xdr:row>33</xdr:row>
      <xdr:rowOff>104775</xdr:rowOff>
    </xdr:to>
    <xdr:sp>
      <xdr:nvSpPr>
        <xdr:cNvPr id="73" name="Line 75"/>
        <xdr:cNvSpPr>
          <a:spLocks/>
        </xdr:cNvSpPr>
      </xdr:nvSpPr>
      <xdr:spPr>
        <a:xfrm>
          <a:off x="22574250" y="5562600"/>
          <a:ext cx="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457200</xdr:colOff>
      <xdr:row>36</xdr:row>
      <xdr:rowOff>28575</xdr:rowOff>
    </xdr:from>
    <xdr:to>
      <xdr:col>26</xdr:col>
      <xdr:colOff>457200</xdr:colOff>
      <xdr:row>37</xdr:row>
      <xdr:rowOff>38100</xdr:rowOff>
    </xdr:to>
    <xdr:sp>
      <xdr:nvSpPr>
        <xdr:cNvPr id="74" name="Line 76"/>
        <xdr:cNvSpPr>
          <a:spLocks/>
        </xdr:cNvSpPr>
      </xdr:nvSpPr>
      <xdr:spPr>
        <a:xfrm flipV="1">
          <a:off x="22583775" y="6705600"/>
          <a:ext cx="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457200</xdr:colOff>
      <xdr:row>40</xdr:row>
      <xdr:rowOff>161925</xdr:rowOff>
    </xdr:from>
    <xdr:to>
      <xdr:col>26</xdr:col>
      <xdr:colOff>457200</xdr:colOff>
      <xdr:row>41</xdr:row>
      <xdr:rowOff>171450</xdr:rowOff>
    </xdr:to>
    <xdr:sp>
      <xdr:nvSpPr>
        <xdr:cNvPr id="75" name="Line 77"/>
        <xdr:cNvSpPr>
          <a:spLocks/>
        </xdr:cNvSpPr>
      </xdr:nvSpPr>
      <xdr:spPr>
        <a:xfrm>
          <a:off x="22583775" y="7639050"/>
          <a:ext cx="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27.7109375" style="0" customWidth="1"/>
    <col min="4" max="4" width="28.421875" style="0" customWidth="1"/>
    <col min="5" max="5" width="16.140625" style="0" customWidth="1"/>
    <col min="17" max="17" width="4.7109375" style="0" customWidth="1"/>
    <col min="18" max="18" width="6.28125" style="0" customWidth="1"/>
    <col min="19" max="19" width="3.57421875" style="0" customWidth="1"/>
    <col min="20" max="20" width="5.140625" style="0" customWidth="1"/>
    <col min="21" max="21" width="4.7109375" style="0" customWidth="1"/>
  </cols>
  <sheetData>
    <row r="1" spans="1:26" ht="19.5">
      <c r="A1" s="1" t="s">
        <v>37</v>
      </c>
      <c r="E1" s="11" t="s">
        <v>23</v>
      </c>
      <c r="F1" s="34"/>
      <c r="G1" s="34"/>
      <c r="H1" s="9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t="s">
        <v>18</v>
      </c>
      <c r="E2" s="11" t="s">
        <v>24</v>
      </c>
      <c r="F2" s="34"/>
      <c r="G2" s="34"/>
      <c r="H2" s="9"/>
      <c r="I2" s="9"/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t="s">
        <v>19</v>
      </c>
      <c r="F3" s="2"/>
      <c r="G3" s="2"/>
      <c r="H3" s="9"/>
      <c r="I3" s="35"/>
      <c r="J3" s="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t="s">
        <v>20</v>
      </c>
      <c r="E4" s="8" t="s">
        <v>22</v>
      </c>
      <c r="F4" s="2"/>
      <c r="G4" s="2"/>
      <c r="H4" s="9"/>
      <c r="I4" s="9"/>
      <c r="J4" s="9"/>
      <c r="K4" s="2"/>
      <c r="L4" s="2"/>
      <c r="M4" s="2"/>
      <c r="N4" s="2"/>
      <c r="O4" s="2"/>
      <c r="P4" s="2"/>
      <c r="Q4" s="2"/>
      <c r="R4" s="36">
        <f>E26</f>
        <v>15</v>
      </c>
      <c r="S4" s="37" t="s">
        <v>201</v>
      </c>
      <c r="T4" s="2"/>
      <c r="U4" s="2"/>
      <c r="V4" s="2"/>
      <c r="W4" s="2"/>
      <c r="X4" s="2"/>
      <c r="Y4" s="2"/>
      <c r="Z4" s="2"/>
    </row>
    <row r="5" spans="1:26" ht="12.75">
      <c r="A5" t="s">
        <v>21</v>
      </c>
      <c r="E5" s="26" t="s">
        <v>43</v>
      </c>
      <c r="F5" s="38"/>
      <c r="G5" s="38"/>
      <c r="H5" s="38"/>
      <c r="I5" s="39"/>
      <c r="J5" s="39"/>
      <c r="K5" s="3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6">
        <v>40702</v>
      </c>
      <c r="C6" t="s">
        <v>36</v>
      </c>
      <c r="F6" s="2"/>
      <c r="G6" s="2"/>
      <c r="H6" s="9"/>
      <c r="I6" s="35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6:26" ht="12.75">
      <c r="F7" s="2"/>
      <c r="G7" s="2"/>
      <c r="H7" s="9"/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8" t="s">
        <v>25</v>
      </c>
      <c r="B8" s="19"/>
      <c r="C8" s="19"/>
      <c r="D8" s="19"/>
      <c r="E8" s="24"/>
      <c r="F8" s="2"/>
      <c r="G8" s="2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8" t="s">
        <v>32</v>
      </c>
      <c r="B9" s="19"/>
      <c r="C9" s="19"/>
      <c r="D9" s="19"/>
      <c r="E9" s="19"/>
      <c r="F9" s="2"/>
      <c r="G9" s="2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8" t="s">
        <v>31</v>
      </c>
      <c r="B10" s="19"/>
      <c r="C10" s="19"/>
      <c r="D10" s="19"/>
      <c r="E10" s="19"/>
      <c r="F10" s="2"/>
      <c r="G10" s="2"/>
      <c r="H10" s="9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6:26" ht="12.75">
      <c r="F11" s="2"/>
      <c r="G11" s="2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6:26" ht="12.75">
      <c r="F12" s="2"/>
      <c r="G12" s="2"/>
      <c r="H12" s="9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F13" s="2"/>
      <c r="G13" s="2"/>
      <c r="H13" s="9"/>
      <c r="I13" s="35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1" t="s">
        <v>15</v>
      </c>
      <c r="B14" s="7"/>
      <c r="C14" s="7"/>
      <c r="D14" s="7"/>
      <c r="E14" s="31">
        <v>65</v>
      </c>
      <c r="F14" s="2"/>
      <c r="G14" s="2"/>
      <c r="H14" s="9"/>
      <c r="I14" s="36">
        <f>E28</f>
        <v>15</v>
      </c>
      <c r="J14" s="37" t="s">
        <v>201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3" t="s">
        <v>29</v>
      </c>
      <c r="B15" s="9"/>
      <c r="C15" s="9"/>
      <c r="D15" s="9"/>
      <c r="E15" s="31">
        <v>15</v>
      </c>
      <c r="F15" s="2"/>
      <c r="G15" s="2"/>
      <c r="H15" s="9"/>
      <c r="I15" s="35"/>
      <c r="J15" s="9"/>
      <c r="K15" s="2"/>
      <c r="L15" s="2"/>
      <c r="M15" s="2"/>
      <c r="N15" s="2"/>
      <c r="O15" s="2"/>
      <c r="P15" s="2"/>
      <c r="Q15" s="2"/>
      <c r="R15" s="2"/>
      <c r="S15" s="2"/>
      <c r="T15" s="36">
        <f>E19</f>
        <v>50</v>
      </c>
      <c r="U15" s="37" t="s">
        <v>201</v>
      </c>
      <c r="V15" s="2"/>
      <c r="W15" s="2"/>
      <c r="X15" s="2"/>
      <c r="Y15" s="2"/>
      <c r="Z15" s="2"/>
    </row>
    <row r="16" spans="1:26" ht="15">
      <c r="A16" s="23" t="s">
        <v>83</v>
      </c>
      <c r="B16" s="9"/>
      <c r="C16" s="9"/>
      <c r="D16" s="9"/>
      <c r="E16" s="31">
        <v>80</v>
      </c>
      <c r="F16" s="2"/>
      <c r="G16" s="2"/>
      <c r="H16" s="9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1" t="s">
        <v>39</v>
      </c>
      <c r="B17" s="7"/>
      <c r="C17" s="7"/>
      <c r="D17" s="7"/>
      <c r="E17" s="31">
        <v>50</v>
      </c>
      <c r="F17" s="2"/>
      <c r="G17" s="2"/>
      <c r="H17" s="9"/>
      <c r="I17" s="9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1"/>
      <c r="B18" s="7"/>
      <c r="C18" s="7"/>
      <c r="D18" s="7"/>
      <c r="E18" s="32"/>
      <c r="F18" s="2"/>
      <c r="G18" s="2"/>
      <c r="H18" s="9"/>
      <c r="I18" s="35"/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1" t="s">
        <v>40</v>
      </c>
      <c r="B19" s="7"/>
      <c r="C19" s="7"/>
      <c r="D19" s="7"/>
      <c r="E19" s="31">
        <v>50</v>
      </c>
      <c r="F19" s="2"/>
      <c r="G19" s="2"/>
      <c r="H19" s="9"/>
      <c r="I19" s="9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1" t="s">
        <v>26</v>
      </c>
      <c r="B20" s="7"/>
      <c r="C20" s="7"/>
      <c r="D20" s="7"/>
      <c r="E20" s="31">
        <v>110</v>
      </c>
      <c r="F20" s="2"/>
      <c r="G20" s="2"/>
      <c r="H20" s="9"/>
      <c r="I20" s="9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3" t="s">
        <v>41</v>
      </c>
      <c r="B21" s="9"/>
      <c r="C21" s="9"/>
      <c r="D21" s="9"/>
      <c r="E21" s="31">
        <v>11</v>
      </c>
      <c r="F21" s="2"/>
      <c r="G21" s="2"/>
      <c r="H21" s="9"/>
      <c r="I21" s="35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1" t="s">
        <v>38</v>
      </c>
      <c r="B22" s="7"/>
      <c r="C22" s="7"/>
      <c r="D22" s="7"/>
      <c r="E22" s="31">
        <v>3</v>
      </c>
      <c r="F22" s="40" t="str">
        <f>+IF(+E22&lt;0.01,"Use 0.01 for no dome"," ")</f>
        <v> </v>
      </c>
      <c r="G22" s="2"/>
      <c r="H22" s="9"/>
      <c r="I22" s="9"/>
      <c r="J22" s="9"/>
      <c r="K22" s="2"/>
      <c r="L22" s="2"/>
      <c r="M22" s="2"/>
      <c r="N22" s="2"/>
      <c r="O22" s="2"/>
      <c r="P22" s="2"/>
      <c r="Q22" s="2"/>
      <c r="R22" s="37">
        <f>E16</f>
        <v>80</v>
      </c>
      <c r="S22" s="37" t="s">
        <v>201</v>
      </c>
      <c r="T22" s="2"/>
      <c r="U22" s="2"/>
      <c r="V22" s="2"/>
      <c r="W22" s="2"/>
      <c r="X22" s="2"/>
      <c r="Y22" s="2"/>
      <c r="Z22" s="2"/>
    </row>
    <row r="23" spans="1:26" ht="15.75">
      <c r="A23" s="7" t="s">
        <v>35</v>
      </c>
      <c r="B23" s="7"/>
      <c r="C23" s="7"/>
      <c r="D23" s="7"/>
      <c r="E23" s="32"/>
      <c r="F23" s="2"/>
      <c r="G23" s="4"/>
      <c r="H23" s="9"/>
      <c r="I23" s="35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23" t="s">
        <v>42</v>
      </c>
      <c r="B24" s="9"/>
      <c r="C24" s="9"/>
      <c r="D24" s="9"/>
      <c r="E24" s="31">
        <v>20</v>
      </c>
      <c r="F24" s="40" t="str">
        <f>+IF(+E24&lt;5,"Use 0.01 for no dome"," ")</f>
        <v> </v>
      </c>
      <c r="G24" s="4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23" t="s">
        <v>1</v>
      </c>
      <c r="B25" s="9"/>
      <c r="C25" s="9"/>
      <c r="D25" s="9"/>
      <c r="E25" s="31">
        <v>1</v>
      </c>
      <c r="F25" s="4"/>
      <c r="G25" s="4"/>
      <c r="H25" s="9"/>
      <c r="I25" s="35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23" t="s">
        <v>84</v>
      </c>
      <c r="B26" s="9"/>
      <c r="C26" s="9"/>
      <c r="D26" s="9"/>
      <c r="E26" s="31">
        <v>15</v>
      </c>
      <c r="F26" s="4"/>
      <c r="G26" s="4"/>
      <c r="H26" s="9"/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23" t="s">
        <v>85</v>
      </c>
      <c r="E27" s="31">
        <v>40</v>
      </c>
      <c r="F27" s="4"/>
      <c r="G27" s="4"/>
      <c r="H27" s="9"/>
      <c r="I27" s="35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36">
        <f>E22</f>
        <v>3</v>
      </c>
      <c r="V27" s="37" t="s">
        <v>201</v>
      </c>
      <c r="W27" s="2"/>
      <c r="X27" s="2"/>
      <c r="Y27" s="2"/>
      <c r="Z27" s="2"/>
    </row>
    <row r="28" spans="1:26" ht="15.75">
      <c r="A28" s="23" t="s">
        <v>16</v>
      </c>
      <c r="B28" s="9"/>
      <c r="C28" s="9"/>
      <c r="D28" s="9"/>
      <c r="E28" s="31">
        <v>15</v>
      </c>
      <c r="F28" s="4"/>
      <c r="G28" s="4"/>
      <c r="H28" s="9"/>
      <c r="I28" s="9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23" t="s">
        <v>17</v>
      </c>
      <c r="B29" s="9"/>
      <c r="C29" s="9"/>
      <c r="D29" s="9"/>
      <c r="E29" s="31">
        <v>6</v>
      </c>
      <c r="F29" s="4"/>
      <c r="G29" s="4"/>
      <c r="H29" s="9"/>
      <c r="I29" s="9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23" t="s">
        <v>163</v>
      </c>
      <c r="B30" s="9"/>
      <c r="C30" s="9"/>
      <c r="D30" s="9"/>
      <c r="E30" s="33">
        <v>3</v>
      </c>
      <c r="F30" s="4"/>
      <c r="G30" s="4"/>
      <c r="H30" s="9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36">
        <f>E21</f>
        <v>11</v>
      </c>
      <c r="V30" s="37" t="s">
        <v>201</v>
      </c>
      <c r="W30" s="2"/>
      <c r="X30" s="2"/>
      <c r="Y30" s="2"/>
      <c r="Z30" s="2"/>
    </row>
    <row r="31" spans="1:26" ht="15.75">
      <c r="A31" s="21"/>
      <c r="B31" s="7"/>
      <c r="C31" s="7"/>
      <c r="D31" s="7"/>
      <c r="F31" s="4"/>
      <c r="G31" s="4"/>
      <c r="H31" s="9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23" t="s">
        <v>11</v>
      </c>
      <c r="B32" s="9"/>
      <c r="C32" s="9"/>
      <c r="D32" s="9"/>
      <c r="E32" s="12">
        <f>E65</f>
        <v>103901.40064590822</v>
      </c>
      <c r="F32" s="4"/>
      <c r="G32" s="4"/>
      <c r="H32" s="9"/>
      <c r="I32" s="9"/>
      <c r="J32" s="9"/>
      <c r="K32" s="2"/>
      <c r="L32" s="2"/>
      <c r="M32" s="2"/>
      <c r="N32" s="2"/>
      <c r="O32" s="36">
        <f>E17</f>
        <v>50</v>
      </c>
      <c r="P32" s="37" t="s">
        <v>201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3" t="s">
        <v>10</v>
      </c>
      <c r="B33" s="9"/>
      <c r="C33" s="9"/>
      <c r="D33" s="9"/>
      <c r="E33" s="12">
        <f>+E32*E25</f>
        <v>103901.40064590822</v>
      </c>
      <c r="F33" s="4"/>
      <c r="G33" s="4"/>
      <c r="H33" s="9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23" t="s">
        <v>28</v>
      </c>
      <c r="B34" s="9"/>
      <c r="C34" s="9"/>
      <c r="D34" s="9"/>
      <c r="E34" s="13">
        <f>+E15*E32</f>
        <v>1558521.0096886232</v>
      </c>
      <c r="F34" s="13">
        <f>E34/2000</f>
        <v>779.2605048443116</v>
      </c>
      <c r="G34" s="14" t="s">
        <v>2</v>
      </c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23" t="s">
        <v>12</v>
      </c>
      <c r="B35" s="9"/>
      <c r="C35" s="9"/>
      <c r="D35" s="9"/>
      <c r="E35" s="13">
        <f>E34*E25</f>
        <v>1558521.0096886232</v>
      </c>
      <c r="F35" s="13">
        <f>E35/2000</f>
        <v>779.2605048443116</v>
      </c>
      <c r="G35" s="14" t="s">
        <v>2</v>
      </c>
      <c r="H35" s="9"/>
      <c r="I35" s="36">
        <f>E20</f>
        <v>110</v>
      </c>
      <c r="J35" s="37" t="s">
        <v>201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21"/>
      <c r="B36" s="7"/>
      <c r="C36" s="7"/>
      <c r="D36" s="7"/>
      <c r="E36" s="43"/>
      <c r="F36" s="29"/>
      <c r="G36" s="15"/>
      <c r="H36" s="9"/>
      <c r="I36" s="41"/>
      <c r="J36" s="9"/>
      <c r="K36" s="2"/>
      <c r="L36" s="2"/>
      <c r="M36" s="2"/>
      <c r="N36" s="2"/>
      <c r="O36" s="2"/>
      <c r="P36" s="2"/>
      <c r="Q36" s="36">
        <f>E24</f>
        <v>20</v>
      </c>
      <c r="R36" s="37" t="s">
        <v>201</v>
      </c>
      <c r="S36" s="2"/>
      <c r="T36" s="2"/>
      <c r="U36" s="2"/>
      <c r="V36" s="2"/>
      <c r="W36" s="2"/>
      <c r="X36" s="2"/>
      <c r="Y36" s="2"/>
      <c r="Z36" s="2"/>
    </row>
    <row r="37" spans="1:26" ht="15.75">
      <c r="A37" s="23" t="s">
        <v>27</v>
      </c>
      <c r="B37" s="9"/>
      <c r="C37" s="9"/>
      <c r="D37" s="9"/>
      <c r="E37" s="12">
        <f>+E34/((100-E14)/100)</f>
        <v>4452917.170538924</v>
      </c>
      <c r="F37" s="12">
        <f>E37/2000</f>
        <v>2226.4585852694618</v>
      </c>
      <c r="G37" s="16" t="s">
        <v>14</v>
      </c>
      <c r="H37" s="9"/>
      <c r="I37" s="41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23" t="s">
        <v>13</v>
      </c>
      <c r="B38" s="9"/>
      <c r="C38" s="9"/>
      <c r="D38" s="9"/>
      <c r="E38" s="12">
        <f>E37*E25</f>
        <v>4452917.170538924</v>
      </c>
      <c r="F38" s="12">
        <f>E38/2000</f>
        <v>2226.4585852694618</v>
      </c>
      <c r="G38" s="16" t="s">
        <v>14</v>
      </c>
      <c r="H38" s="9"/>
      <c r="I38" s="9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21" t="s">
        <v>30</v>
      </c>
      <c r="B39" s="7"/>
      <c r="C39" s="7"/>
      <c r="D39" s="7"/>
      <c r="E39" s="44">
        <f>+E87</f>
        <v>20394.26109614966</v>
      </c>
      <c r="F39" s="2"/>
      <c r="G39" s="2"/>
      <c r="H39" s="9"/>
      <c r="I39" s="9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21" t="s">
        <v>89</v>
      </c>
      <c r="B40" s="7"/>
      <c r="C40" s="7"/>
      <c r="D40" s="7"/>
      <c r="E40" s="45">
        <f>+E25*E39</f>
        <v>20394.26109614966</v>
      </c>
      <c r="F40" s="2"/>
      <c r="G40" s="2"/>
      <c r="H40" s="9"/>
      <c r="I40" s="9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23" t="s">
        <v>3</v>
      </c>
      <c r="B41" s="9"/>
      <c r="C41" s="9"/>
      <c r="D41" s="9"/>
      <c r="E41" s="12">
        <f>E16+E17+E19+2*E26+E27</f>
        <v>250</v>
      </c>
      <c r="F41" s="2"/>
      <c r="G41" s="2"/>
      <c r="H41" s="9"/>
      <c r="I41" s="9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23" t="s">
        <v>4</v>
      </c>
      <c r="B42" s="9"/>
      <c r="C42" s="9"/>
      <c r="D42" s="9"/>
      <c r="E42" s="12">
        <f>E20*E25+(E25-1)*E29+2*E28</f>
        <v>140</v>
      </c>
      <c r="F42" s="2"/>
      <c r="G42" s="2"/>
      <c r="H42" s="9"/>
      <c r="I42" s="9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23" t="s">
        <v>5</v>
      </c>
      <c r="B43" s="9"/>
      <c r="C43" s="9"/>
      <c r="D43" s="9"/>
      <c r="E43" s="12">
        <f>E41*E42</f>
        <v>35000</v>
      </c>
      <c r="F43" s="2"/>
      <c r="G43" s="2"/>
      <c r="H43" s="9"/>
      <c r="I43" s="9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23" t="s">
        <v>6</v>
      </c>
      <c r="B44" s="9"/>
      <c r="C44" s="9"/>
      <c r="D44" s="9"/>
      <c r="E44" s="5">
        <f>E43*E30</f>
        <v>105000</v>
      </c>
      <c r="F44" s="2"/>
      <c r="G44" s="2"/>
      <c r="H44" s="9"/>
      <c r="I44" s="9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1"/>
      <c r="B45" s="7"/>
      <c r="C45" s="7"/>
      <c r="D45" s="7"/>
      <c r="E45" s="2"/>
      <c r="F45" s="2"/>
      <c r="G45" s="2"/>
      <c r="H45" s="9"/>
      <c r="I45" s="41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64" t="s">
        <v>0</v>
      </c>
      <c r="B46" s="10" t="s">
        <v>0</v>
      </c>
      <c r="C46" s="10" t="s">
        <v>0</v>
      </c>
      <c r="D46" s="10" t="s">
        <v>0</v>
      </c>
      <c r="E46" s="3" t="s">
        <v>0</v>
      </c>
      <c r="F46" s="2"/>
      <c r="G46" s="2"/>
      <c r="H46" s="9"/>
      <c r="I46" s="41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1"/>
      <c r="B47" s="7"/>
      <c r="C47" s="7"/>
      <c r="D47" s="7"/>
      <c r="E47" s="9"/>
      <c r="F47" s="2"/>
      <c r="G47" s="2"/>
      <c r="H47" s="9"/>
      <c r="I47" s="41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1" t="s">
        <v>7</v>
      </c>
      <c r="B48" s="9"/>
      <c r="C48" s="9"/>
      <c r="D48" s="9"/>
      <c r="E48" s="46">
        <f>(E24*E24/(8*E22))+E22/2</f>
        <v>18.166666666666668</v>
      </c>
      <c r="F48" s="2"/>
      <c r="G48" s="2"/>
      <c r="H48" s="9"/>
      <c r="I48" s="41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3" t="s">
        <v>9</v>
      </c>
      <c r="B49" s="9"/>
      <c r="C49" s="9"/>
      <c r="D49" s="9"/>
      <c r="E49" s="47">
        <f>+E48-E22</f>
        <v>15.166666666666668</v>
      </c>
      <c r="F49" s="2"/>
      <c r="G49" s="2"/>
      <c r="H49" s="9"/>
      <c r="I49" s="41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1" t="s">
        <v>8</v>
      </c>
      <c r="B50" s="9"/>
      <c r="C50" s="9"/>
      <c r="D50" s="9"/>
      <c r="E50" s="48">
        <f>(+E48^2)*(ACOS(+E49/E48))-(+E49*SQRT((2*E22*E48)-E22^2))</f>
        <v>40.71100973286326</v>
      </c>
      <c r="F50" s="2"/>
      <c r="G50" s="2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1"/>
      <c r="B51" s="9"/>
      <c r="C51" s="9"/>
      <c r="D51" s="9"/>
      <c r="E51" s="2"/>
      <c r="F51" s="2"/>
      <c r="G51" s="2"/>
      <c r="H51" s="9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1" t="s">
        <v>63</v>
      </c>
      <c r="E52" s="49">
        <f>E21/E17</f>
        <v>0.22</v>
      </c>
      <c r="F52" s="2"/>
      <c r="G52" s="2"/>
      <c r="H52" s="9"/>
      <c r="I52" s="9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0" t="s">
        <v>64</v>
      </c>
      <c r="E53" s="49">
        <f>E21/E19</f>
        <v>0.22</v>
      </c>
      <c r="F53" s="2"/>
      <c r="G53" s="2"/>
      <c r="H53" s="9"/>
      <c r="I53" s="9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0" t="s">
        <v>65</v>
      </c>
      <c r="E54" s="50">
        <f>IF(E22&lt;0.25,0,E16-(E22/E52+E22/E53))</f>
        <v>52.72727272727273</v>
      </c>
      <c r="F54" s="2"/>
      <c r="G54" s="2"/>
      <c r="H54" s="9"/>
      <c r="I54" s="9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0" t="s">
        <v>66</v>
      </c>
      <c r="E55" s="50">
        <f>IF(E22&lt;0.25,0,((E16+E54)/2))</f>
        <v>66.36363636363636</v>
      </c>
      <c r="F55" s="2"/>
      <c r="G55" s="2"/>
      <c r="H55" s="9"/>
      <c r="I55" s="9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0"/>
      <c r="E56" s="49"/>
      <c r="F56" s="2"/>
      <c r="G56" s="2"/>
      <c r="H56" s="9"/>
      <c r="I56" s="9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1" t="s">
        <v>57</v>
      </c>
      <c r="B57" s="7"/>
      <c r="C57" s="7"/>
      <c r="D57" s="7"/>
      <c r="E57" s="50">
        <f>E24*E21*E16</f>
        <v>17600</v>
      </c>
      <c r="F57" s="2"/>
      <c r="G57" s="2"/>
      <c r="H57" s="9"/>
      <c r="I57" s="9"/>
      <c r="J57" s="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1" t="s">
        <v>58</v>
      </c>
      <c r="B58" s="7"/>
      <c r="C58" s="7"/>
      <c r="D58" s="7"/>
      <c r="E58" s="50">
        <f>0.5*(E20-E24)*E21*E16</f>
        <v>39600</v>
      </c>
      <c r="F58" s="2"/>
      <c r="G58" s="2"/>
      <c r="H58" s="9"/>
      <c r="I58" s="9"/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1" t="s">
        <v>59</v>
      </c>
      <c r="B59" s="7"/>
      <c r="C59" s="7"/>
      <c r="D59" s="7"/>
      <c r="E59" s="50">
        <f>0.5*E21*E17*E24</f>
        <v>5500</v>
      </c>
      <c r="F59" s="42"/>
      <c r="G59" s="2"/>
      <c r="H59" s="9"/>
      <c r="I59" s="9"/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1" t="s">
        <v>60</v>
      </c>
      <c r="B60" s="7"/>
      <c r="C60" s="7"/>
      <c r="D60" s="7"/>
      <c r="E60" s="50">
        <f>0.5*E21*E19*E24</f>
        <v>5500</v>
      </c>
      <c r="F60" s="2"/>
      <c r="G60" s="2"/>
      <c r="H60" s="9"/>
      <c r="I60" s="9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1" t="s">
        <v>61</v>
      </c>
      <c r="B61" s="7"/>
      <c r="C61" s="7"/>
      <c r="D61" s="7"/>
      <c r="E61" s="50">
        <f>0.33333*E21*(E20-E24)*E17</f>
        <v>16499.835000000003</v>
      </c>
      <c r="F61" s="2"/>
      <c r="G61" s="2"/>
      <c r="H61" s="9"/>
      <c r="I61" s="9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1" t="s">
        <v>62</v>
      </c>
      <c r="B62" s="7"/>
      <c r="C62" s="7"/>
      <c r="D62" s="7"/>
      <c r="E62" s="50">
        <f>0.33333*E21*(E20-E24)*E19</f>
        <v>16499.835000000003</v>
      </c>
      <c r="F62" s="2"/>
      <c r="G62" s="2"/>
      <c r="H62" s="9"/>
      <c r="I62" s="9"/>
      <c r="J62" s="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1" t="s">
        <v>67</v>
      </c>
      <c r="E63" s="50">
        <f>E50*E55</f>
        <v>2701.730645908198</v>
      </c>
      <c r="F63" s="2"/>
      <c r="G63" s="2"/>
      <c r="H63" s="9"/>
      <c r="I63" s="9"/>
      <c r="J63" s="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2" t="s">
        <v>69</v>
      </c>
      <c r="E64" s="32"/>
      <c r="F64" s="2"/>
      <c r="G64" s="2"/>
      <c r="H64" s="9"/>
      <c r="I64" s="9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21" t="s">
        <v>68</v>
      </c>
      <c r="E65" s="51">
        <f>SUM(E57:E63)</f>
        <v>103901.40064590822</v>
      </c>
      <c r="F65" s="2"/>
      <c r="G65" s="2"/>
      <c r="H65" s="9"/>
      <c r="I65" s="9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0"/>
      <c r="E66" s="2"/>
      <c r="F66" s="2"/>
      <c r="G66" s="2"/>
      <c r="H66" s="9"/>
      <c r="I66" s="9"/>
      <c r="J66" s="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0"/>
      <c r="E67" s="2"/>
      <c r="F67" s="2"/>
      <c r="G67" s="2"/>
      <c r="H67" s="9"/>
      <c r="I67" s="9"/>
      <c r="J67" s="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1" t="s">
        <v>70</v>
      </c>
      <c r="B68" s="7"/>
      <c r="C68" s="7"/>
      <c r="D68" s="7"/>
      <c r="E68" s="52">
        <f>+(E20-E24)/2</f>
        <v>45</v>
      </c>
      <c r="F68" s="2"/>
      <c r="G68" s="2"/>
      <c r="H68" s="9"/>
      <c r="I68" s="9"/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1" t="s">
        <v>71</v>
      </c>
      <c r="E69" s="52">
        <f>+SQRT(E21^2+E17^2)</f>
        <v>51.19570294468082</v>
      </c>
      <c r="F69" s="2"/>
      <c r="G69" s="2"/>
      <c r="H69" s="9"/>
      <c r="I69" s="9"/>
      <c r="J69" s="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1" t="s">
        <v>72</v>
      </c>
      <c r="B70" s="7"/>
      <c r="C70" s="7"/>
      <c r="D70" s="7"/>
      <c r="E70" s="52">
        <f>+SQRT(E21^2+((E20-E24)/2)^2)</f>
        <v>46.32493928760188</v>
      </c>
      <c r="F70" s="2"/>
      <c r="G70" s="2"/>
      <c r="H70" s="9"/>
      <c r="I70" s="9"/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21" t="s">
        <v>73</v>
      </c>
      <c r="E71" s="53">
        <f>0.5*((E20-E24)*E69)+2*(0.5*E17*E70)</f>
        <v>4620.053596890732</v>
      </c>
      <c r="F71" s="2"/>
      <c r="G71" s="2"/>
      <c r="H71" s="9"/>
      <c r="I71" s="9"/>
      <c r="J71" s="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0"/>
      <c r="E72" s="2"/>
      <c r="F72" s="2"/>
      <c r="G72" s="2"/>
      <c r="H72" s="9"/>
      <c r="I72" s="9"/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1" t="s">
        <v>74</v>
      </c>
      <c r="B73" s="7"/>
      <c r="C73" s="7"/>
      <c r="D73" s="7"/>
      <c r="E73" s="52">
        <f>E68</f>
        <v>45</v>
      </c>
      <c r="F73" s="2"/>
      <c r="G73" s="2"/>
      <c r="H73" s="9"/>
      <c r="I73" s="9"/>
      <c r="J73" s="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1" t="s">
        <v>75</v>
      </c>
      <c r="E74" s="52">
        <f>+SQRT(E21^2+E19^2)</f>
        <v>51.19570294468082</v>
      </c>
      <c r="F74" s="2"/>
      <c r="G74" s="2"/>
      <c r="H74" s="9"/>
      <c r="I74" s="9"/>
      <c r="J74" s="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1" t="s">
        <v>76</v>
      </c>
      <c r="B75" s="7"/>
      <c r="C75" s="7"/>
      <c r="D75" s="7"/>
      <c r="E75" s="52">
        <f>+SQRT(E21^2+((E20-E24)/2)^2)</f>
        <v>46.32493928760188</v>
      </c>
      <c r="F75" s="2"/>
      <c r="G75" s="2"/>
      <c r="H75" s="9"/>
      <c r="I75" s="9"/>
      <c r="J75" s="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21" t="s">
        <v>77</v>
      </c>
      <c r="E76" s="53">
        <f>0.5*((E20-E24)*E74)+2*(0.5*E19*E75)</f>
        <v>4620.053596890732</v>
      </c>
      <c r="F76" s="2"/>
      <c r="G76" s="2"/>
      <c r="H76" s="9"/>
      <c r="I76" s="9"/>
      <c r="J76" s="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0"/>
      <c r="E77" s="54"/>
      <c r="F77" s="2"/>
      <c r="G77" s="2"/>
      <c r="H77" s="9"/>
      <c r="I77" s="9"/>
      <c r="J77" s="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20" t="s">
        <v>78</v>
      </c>
      <c r="E78" s="55">
        <f>2*E16*E70</f>
        <v>7411.9902860163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0"/>
      <c r="E79" s="5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20" t="s">
        <v>79</v>
      </c>
      <c r="E80" s="56">
        <f>E24*E69</f>
        <v>1023.9140588936164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20" t="s">
        <v>80</v>
      </c>
      <c r="E81" s="56">
        <f>E24*E74</f>
        <v>1023.9140588936164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1"/>
      <c r="B82" s="7"/>
      <c r="C82" s="7"/>
      <c r="D82" s="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1" t="s">
        <v>33</v>
      </c>
      <c r="B83" s="7"/>
      <c r="C83" s="7"/>
      <c r="D83" s="7"/>
      <c r="E83" s="57">
        <f>2*E48*ACOS((E49)/E48)</f>
        <v>21.17919373205834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21" t="s">
        <v>34</v>
      </c>
      <c r="B84" s="7"/>
      <c r="C84" s="7"/>
      <c r="D84" s="7"/>
      <c r="E84" s="58">
        <f>+E16*(MAX(E83,E24))</f>
        <v>1694.3354985646672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1"/>
      <c r="B85" s="7"/>
      <c r="C85" s="7"/>
      <c r="D85" s="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2" t="s">
        <v>81</v>
      </c>
      <c r="B86" s="7"/>
      <c r="C86" s="7"/>
      <c r="D86" s="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21" t="s">
        <v>82</v>
      </c>
      <c r="E87" s="51">
        <f>E71+E76+E78+E80+E81+E84</f>
        <v>20394.26109614966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6:26" ht="12.7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6:26" ht="12.7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6:26" ht="12.7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6:26" ht="12.7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6:26" ht="12.7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6:26" ht="12.7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6:26" ht="12.7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6:26" ht="12.7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6:26" ht="12.7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7109375" style="0" customWidth="1"/>
    <col min="2" max="2" width="16.421875" style="0" customWidth="1"/>
    <col min="4" max="4" width="39.28125" style="0" customWidth="1"/>
    <col min="5" max="5" width="14.140625" style="0" customWidth="1"/>
  </cols>
  <sheetData>
    <row r="1" spans="1:26" ht="19.5">
      <c r="A1" s="1" t="s">
        <v>37</v>
      </c>
      <c r="E1" s="11" t="s">
        <v>23</v>
      </c>
      <c r="F1" s="34"/>
      <c r="G1" s="34"/>
      <c r="H1" s="9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t="s">
        <v>18</v>
      </c>
      <c r="E2" s="11" t="s">
        <v>24</v>
      </c>
      <c r="F2" s="34"/>
      <c r="G2" s="34"/>
      <c r="H2" s="9"/>
      <c r="I2" s="9"/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t="s">
        <v>19</v>
      </c>
      <c r="F3" s="2"/>
      <c r="G3" s="2"/>
      <c r="H3" s="9"/>
      <c r="I3" s="35"/>
      <c r="J3" s="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t="s">
        <v>20</v>
      </c>
      <c r="E4" s="8" t="s">
        <v>22</v>
      </c>
      <c r="F4" s="2"/>
      <c r="G4" s="2"/>
      <c r="H4" s="9"/>
      <c r="I4" s="9"/>
      <c r="J4" s="9"/>
      <c r="K4" s="2"/>
      <c r="L4" s="2"/>
      <c r="M4" s="2"/>
      <c r="N4" s="2"/>
      <c r="O4" s="2"/>
      <c r="P4" s="2"/>
      <c r="Q4" s="2"/>
      <c r="R4" s="36">
        <f>E26</f>
        <v>4.6</v>
      </c>
      <c r="S4" s="37" t="s">
        <v>200</v>
      </c>
      <c r="T4" s="2"/>
      <c r="U4" s="2"/>
      <c r="V4" s="2"/>
      <c r="W4" s="2"/>
      <c r="X4" s="2"/>
      <c r="Y4" s="2"/>
      <c r="Z4" s="2"/>
    </row>
    <row r="5" spans="1:26" ht="12.75">
      <c r="A5" t="s">
        <v>21</v>
      </c>
      <c r="E5" s="26" t="s">
        <v>43</v>
      </c>
      <c r="F5" s="38"/>
      <c r="G5" s="38"/>
      <c r="H5" s="38"/>
      <c r="I5" s="39"/>
      <c r="J5" s="39"/>
      <c r="K5" s="3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6">
        <v>40962</v>
      </c>
      <c r="C6" s="20" t="s">
        <v>254</v>
      </c>
      <c r="F6" s="2"/>
      <c r="G6" s="2"/>
      <c r="H6" s="9"/>
      <c r="I6" s="35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6:26" ht="12.75">
      <c r="F7" s="2"/>
      <c r="G7" s="2"/>
      <c r="H7" s="9"/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8" t="s">
        <v>25</v>
      </c>
      <c r="B8" s="19"/>
      <c r="C8" s="19"/>
      <c r="D8" s="19"/>
      <c r="E8" s="24"/>
      <c r="F8" s="2"/>
      <c r="G8" s="2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8" t="s">
        <v>32</v>
      </c>
      <c r="B9" s="19"/>
      <c r="C9" s="19"/>
      <c r="D9" s="19"/>
      <c r="E9" s="19"/>
      <c r="F9" s="2"/>
      <c r="G9" s="2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8" t="s">
        <v>31</v>
      </c>
      <c r="B10" s="19"/>
      <c r="C10" s="19"/>
      <c r="D10" s="19"/>
      <c r="E10" s="19"/>
      <c r="F10" s="2"/>
      <c r="G10" s="2"/>
      <c r="H10" s="9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6:26" ht="12.75">
      <c r="F11" s="2"/>
      <c r="G11" s="2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6:26" ht="12.75">
      <c r="F12" s="2"/>
      <c r="G12" s="2"/>
      <c r="H12" s="9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F13" s="2"/>
      <c r="G13" s="2"/>
      <c r="H13" s="9"/>
      <c r="I13" s="35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7" t="s">
        <v>15</v>
      </c>
      <c r="B14" s="7"/>
      <c r="C14" s="7"/>
      <c r="D14" s="7"/>
      <c r="E14" s="31">
        <v>65</v>
      </c>
      <c r="F14" s="2"/>
      <c r="G14" s="2"/>
      <c r="H14" s="9"/>
      <c r="I14" s="36">
        <f>E28</f>
        <v>4.6</v>
      </c>
      <c r="J14" s="37" t="s">
        <v>200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3" t="s">
        <v>202</v>
      </c>
      <c r="B15" s="9"/>
      <c r="C15" s="9"/>
      <c r="D15" s="9"/>
      <c r="E15" s="31">
        <v>240</v>
      </c>
      <c r="F15" s="2"/>
      <c r="G15" s="2"/>
      <c r="H15" s="9"/>
      <c r="I15" s="35"/>
      <c r="J15" s="9"/>
      <c r="K15" s="2"/>
      <c r="L15" s="2"/>
      <c r="M15" s="2"/>
      <c r="N15" s="2"/>
      <c r="O15" s="2"/>
      <c r="P15" s="2"/>
      <c r="Q15" s="2"/>
      <c r="R15" s="2"/>
      <c r="S15" s="2"/>
      <c r="T15" s="36">
        <f>E19</f>
        <v>15.2</v>
      </c>
      <c r="U15" s="37" t="s">
        <v>200</v>
      </c>
      <c r="V15" s="2"/>
      <c r="W15" s="2"/>
      <c r="X15" s="2"/>
      <c r="Y15" s="2"/>
      <c r="Z15" s="2"/>
    </row>
    <row r="16" spans="1:26" ht="15">
      <c r="A16" s="23" t="s">
        <v>203</v>
      </c>
      <c r="B16" s="9"/>
      <c r="C16" s="9"/>
      <c r="D16" s="9"/>
      <c r="E16" s="31">
        <v>24.4</v>
      </c>
      <c r="F16" s="2"/>
      <c r="G16" s="2"/>
      <c r="H16" s="9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1" t="s">
        <v>204</v>
      </c>
      <c r="B17" s="7"/>
      <c r="C17" s="7"/>
      <c r="D17" s="7"/>
      <c r="E17" s="31">
        <v>15.2</v>
      </c>
      <c r="F17" s="2"/>
      <c r="G17" s="2"/>
      <c r="H17" s="9"/>
      <c r="I17" s="9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1"/>
      <c r="B18" s="7"/>
      <c r="C18" s="7"/>
      <c r="D18" s="7"/>
      <c r="E18" s="32"/>
      <c r="F18" s="2"/>
      <c r="G18" s="2"/>
      <c r="H18" s="9"/>
      <c r="I18" s="35"/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1" t="s">
        <v>205</v>
      </c>
      <c r="B19" s="7"/>
      <c r="C19" s="7"/>
      <c r="D19" s="7"/>
      <c r="E19" s="31">
        <v>15.2</v>
      </c>
      <c r="F19" s="2"/>
      <c r="G19" s="2"/>
      <c r="H19" s="9"/>
      <c r="I19" s="9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1" t="s">
        <v>206</v>
      </c>
      <c r="B20" s="7"/>
      <c r="C20" s="7"/>
      <c r="D20" s="7"/>
      <c r="E20" s="31">
        <v>33.5</v>
      </c>
      <c r="F20" s="2"/>
      <c r="G20" s="2"/>
      <c r="H20" s="9"/>
      <c r="I20" s="9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3" t="s">
        <v>207</v>
      </c>
      <c r="B21" s="9"/>
      <c r="C21" s="9"/>
      <c r="D21" s="9"/>
      <c r="E21" s="31">
        <v>3.4</v>
      </c>
      <c r="F21" s="2"/>
      <c r="G21" s="2"/>
      <c r="H21" s="9"/>
      <c r="I21" s="35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1" t="s">
        <v>208</v>
      </c>
      <c r="B22" s="7"/>
      <c r="C22" s="7"/>
      <c r="D22" s="7"/>
      <c r="E22" s="31">
        <v>1</v>
      </c>
      <c r="F22" s="40" t="str">
        <f>+IF(+E22&lt;0.01,"Use 0.01 for no dome"," ")</f>
        <v> </v>
      </c>
      <c r="G22" s="2"/>
      <c r="H22" s="9"/>
      <c r="I22" s="9"/>
      <c r="J22" s="9"/>
      <c r="K22" s="2"/>
      <c r="L22" s="2"/>
      <c r="M22" s="2"/>
      <c r="N22" s="2"/>
      <c r="O22" s="2"/>
      <c r="P22" s="2"/>
      <c r="Q22" s="2"/>
      <c r="R22" s="37">
        <f>E16</f>
        <v>24.4</v>
      </c>
      <c r="S22" s="37" t="s">
        <v>200</v>
      </c>
      <c r="T22" s="2"/>
      <c r="U22" s="2"/>
      <c r="V22" s="2"/>
      <c r="W22" s="2"/>
      <c r="X22" s="2"/>
      <c r="Y22" s="2"/>
      <c r="Z22" s="2"/>
    </row>
    <row r="23" spans="1:26" ht="15.75">
      <c r="A23" s="7" t="s">
        <v>35</v>
      </c>
      <c r="B23" s="7"/>
      <c r="C23" s="7"/>
      <c r="D23" s="7"/>
      <c r="E23" s="32"/>
      <c r="F23" s="2"/>
      <c r="G23" s="4"/>
      <c r="H23" s="9"/>
      <c r="I23" s="35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23" t="s">
        <v>209</v>
      </c>
      <c r="B24" s="9"/>
      <c r="C24" s="9"/>
      <c r="D24" s="9"/>
      <c r="E24" s="31">
        <v>6.1</v>
      </c>
      <c r="F24" s="40" t="str">
        <f>+IF(+E24&lt;5,"Use 0.01 for no dome"," ")</f>
        <v> </v>
      </c>
      <c r="G24" s="4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9" t="s">
        <v>1</v>
      </c>
      <c r="B25" s="9"/>
      <c r="C25" s="9"/>
      <c r="D25" s="9"/>
      <c r="E25" s="31">
        <v>1</v>
      </c>
      <c r="F25" s="4"/>
      <c r="G25" s="4"/>
      <c r="H25" s="9"/>
      <c r="I25" s="35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23" t="s">
        <v>210</v>
      </c>
      <c r="B26" s="9"/>
      <c r="C26" s="9"/>
      <c r="D26" s="9"/>
      <c r="E26" s="31">
        <v>4.6</v>
      </c>
      <c r="F26" s="4"/>
      <c r="G26" s="4"/>
      <c r="H26" s="9"/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23" t="s">
        <v>211</v>
      </c>
      <c r="E27" s="31">
        <v>12.2</v>
      </c>
      <c r="F27" s="4"/>
      <c r="G27" s="4"/>
      <c r="H27" s="9"/>
      <c r="I27" s="35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36">
        <f>E22</f>
        <v>1</v>
      </c>
      <c r="V27" s="37" t="s">
        <v>200</v>
      </c>
      <c r="W27" s="2"/>
      <c r="X27" s="2"/>
      <c r="Y27" s="2"/>
      <c r="Z27" s="2"/>
    </row>
    <row r="28" spans="1:26" ht="15.75">
      <c r="A28" s="23" t="s">
        <v>212</v>
      </c>
      <c r="B28" s="9"/>
      <c r="C28" s="9"/>
      <c r="D28" s="9"/>
      <c r="E28" s="31">
        <v>4.6</v>
      </c>
      <c r="F28" s="4"/>
      <c r="G28" s="4"/>
      <c r="H28" s="9"/>
      <c r="I28" s="9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23" t="s">
        <v>213</v>
      </c>
      <c r="B29" s="9"/>
      <c r="C29" s="9"/>
      <c r="D29" s="9"/>
      <c r="E29" s="31">
        <v>2</v>
      </c>
      <c r="F29" s="4"/>
      <c r="G29" s="4"/>
      <c r="H29" s="9"/>
      <c r="I29" s="9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23" t="s">
        <v>214</v>
      </c>
      <c r="B30" s="9"/>
      <c r="C30" s="9"/>
      <c r="D30" s="9"/>
      <c r="E30" s="33">
        <v>32</v>
      </c>
      <c r="F30" s="4"/>
      <c r="G30" s="4"/>
      <c r="H30" s="9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36">
        <f>E21</f>
        <v>3.4</v>
      </c>
      <c r="V30" s="37" t="s">
        <v>200</v>
      </c>
      <c r="W30" s="2"/>
      <c r="X30" s="2"/>
      <c r="Y30" s="2"/>
      <c r="Z30" s="2"/>
    </row>
    <row r="31" spans="1:26" ht="15.75">
      <c r="A31" s="21"/>
      <c r="B31" s="7"/>
      <c r="C31" s="7"/>
      <c r="D31" s="7"/>
      <c r="F31" s="4"/>
      <c r="G31" s="4"/>
      <c r="H31" s="9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23" t="s">
        <v>215</v>
      </c>
      <c r="B32" s="9"/>
      <c r="C32" s="9"/>
      <c r="D32" s="9"/>
      <c r="E32" s="12">
        <f>E65</f>
        <v>2984.630785654748</v>
      </c>
      <c r="F32" s="4"/>
      <c r="G32" s="4"/>
      <c r="H32" s="9"/>
      <c r="I32" s="9"/>
      <c r="J32" s="9"/>
      <c r="K32" s="2"/>
      <c r="L32" s="2"/>
      <c r="M32" s="2"/>
      <c r="N32" s="2"/>
      <c r="O32" s="36">
        <f>E17</f>
        <v>15.2</v>
      </c>
      <c r="P32" s="37" t="s">
        <v>200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3" t="s">
        <v>242</v>
      </c>
      <c r="B33" s="9"/>
      <c r="C33" s="9"/>
      <c r="D33" s="9"/>
      <c r="E33" s="12">
        <f>+E32*E25</f>
        <v>2984.630785654748</v>
      </c>
      <c r="F33" s="4"/>
      <c r="G33" s="4"/>
      <c r="H33" s="9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23" t="s">
        <v>243</v>
      </c>
      <c r="B34" s="9"/>
      <c r="C34" s="9"/>
      <c r="D34" s="9"/>
      <c r="E34" s="13">
        <f>+E15*E32</f>
        <v>716311.3885571394</v>
      </c>
      <c r="F34" s="13">
        <f>E34/1000</f>
        <v>716.3113885571395</v>
      </c>
      <c r="G34" s="14" t="s">
        <v>252</v>
      </c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23" t="s">
        <v>244</v>
      </c>
      <c r="B35" s="9"/>
      <c r="C35" s="9"/>
      <c r="D35" s="9"/>
      <c r="E35" s="13">
        <f>E34*E25</f>
        <v>716311.3885571394</v>
      </c>
      <c r="F35" s="13">
        <f>E35/1000</f>
        <v>716.3113885571395</v>
      </c>
      <c r="G35" s="14" t="s">
        <v>252</v>
      </c>
      <c r="H35" s="9"/>
      <c r="I35" s="36">
        <f>E20</f>
        <v>33.5</v>
      </c>
      <c r="J35" s="37" t="s">
        <v>200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21"/>
      <c r="B36" s="7"/>
      <c r="C36" s="7"/>
      <c r="D36" s="7"/>
      <c r="E36" s="43"/>
      <c r="F36" s="29"/>
      <c r="G36" s="15"/>
      <c r="H36" s="9"/>
      <c r="I36" s="41"/>
      <c r="J36" s="9"/>
      <c r="K36" s="2"/>
      <c r="L36" s="2"/>
      <c r="M36" s="2"/>
      <c r="N36" s="2"/>
      <c r="O36" s="2"/>
      <c r="P36" s="2"/>
      <c r="Q36" s="36">
        <f>E24</f>
        <v>6.1</v>
      </c>
      <c r="R36" s="37" t="s">
        <v>200</v>
      </c>
      <c r="S36" s="2"/>
      <c r="T36" s="2"/>
      <c r="U36" s="2"/>
      <c r="V36" s="2"/>
      <c r="W36" s="2"/>
      <c r="X36" s="2"/>
      <c r="Y36" s="2"/>
      <c r="Z36" s="2"/>
    </row>
    <row r="37" spans="1:26" ht="15.75">
      <c r="A37" s="23" t="s">
        <v>245</v>
      </c>
      <c r="B37" s="9"/>
      <c r="C37" s="9"/>
      <c r="D37" s="9"/>
      <c r="E37" s="12">
        <f>+E34/((100-E14)/100)</f>
        <v>2046603.9673061129</v>
      </c>
      <c r="F37" s="12">
        <f>E37/1000</f>
        <v>2046.603967306113</v>
      </c>
      <c r="G37" s="16" t="s">
        <v>97</v>
      </c>
      <c r="H37" s="9"/>
      <c r="I37" s="41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23" t="s">
        <v>246</v>
      </c>
      <c r="B38" s="9"/>
      <c r="C38" s="9"/>
      <c r="D38" s="9"/>
      <c r="E38" s="12">
        <f>E37*E25</f>
        <v>2046603.9673061129</v>
      </c>
      <c r="F38" s="12">
        <f>E38/1000</f>
        <v>2046.603967306113</v>
      </c>
      <c r="G38" s="16" t="s">
        <v>97</v>
      </c>
      <c r="H38" s="9"/>
      <c r="I38" s="9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21" t="s">
        <v>247</v>
      </c>
      <c r="B39" s="7"/>
      <c r="C39" s="7"/>
      <c r="D39" s="7"/>
      <c r="E39" s="44">
        <f>+E87</f>
        <v>1894.0370041995523</v>
      </c>
      <c r="F39" s="2"/>
      <c r="G39" s="2"/>
      <c r="H39" s="9"/>
      <c r="I39" s="9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21" t="s">
        <v>248</v>
      </c>
      <c r="B40" s="7"/>
      <c r="C40" s="7"/>
      <c r="D40" s="7"/>
      <c r="E40" s="45">
        <f>+E25*E39</f>
        <v>1894.0370041995523</v>
      </c>
      <c r="F40" s="2"/>
      <c r="G40" s="2"/>
      <c r="H40" s="9"/>
      <c r="I40" s="9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23" t="s">
        <v>249</v>
      </c>
      <c r="B41" s="9"/>
      <c r="C41" s="9"/>
      <c r="D41" s="9"/>
      <c r="E41" s="12">
        <f>E16+E17+E19+2*E26+E27</f>
        <v>76.2</v>
      </c>
      <c r="F41" s="2"/>
      <c r="G41" s="2"/>
      <c r="H41" s="9"/>
      <c r="I41" s="9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23" t="s">
        <v>250</v>
      </c>
      <c r="B42" s="9"/>
      <c r="C42" s="9"/>
      <c r="D42" s="9"/>
      <c r="E42" s="12">
        <f>E20*E25+(E25-1)*E29+2*E28</f>
        <v>42.7</v>
      </c>
      <c r="F42" s="2"/>
      <c r="G42" s="2"/>
      <c r="H42" s="9"/>
      <c r="I42" s="9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23" t="s">
        <v>251</v>
      </c>
      <c r="B43" s="9"/>
      <c r="C43" s="9"/>
      <c r="D43" s="9"/>
      <c r="E43" s="12">
        <f>E41*E42</f>
        <v>3253.7400000000002</v>
      </c>
      <c r="F43" s="2"/>
      <c r="G43" s="2"/>
      <c r="H43" s="9"/>
      <c r="I43" s="9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23" t="s">
        <v>6</v>
      </c>
      <c r="B44" s="9"/>
      <c r="C44" s="9"/>
      <c r="D44" s="9"/>
      <c r="E44" s="5">
        <f>E43*E30</f>
        <v>104119.68000000001</v>
      </c>
      <c r="F44" s="2"/>
      <c r="G44" s="2"/>
      <c r="H44" s="9"/>
      <c r="I44" s="9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1"/>
      <c r="B45" s="7"/>
      <c r="C45" s="7"/>
      <c r="D45" s="7"/>
      <c r="E45" s="2"/>
      <c r="F45" s="2"/>
      <c r="G45" s="2"/>
      <c r="H45" s="9"/>
      <c r="I45" s="41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64" t="s">
        <v>0</v>
      </c>
      <c r="B46" s="10" t="s">
        <v>0</v>
      </c>
      <c r="C46" s="10" t="s">
        <v>0</v>
      </c>
      <c r="D46" s="10" t="s">
        <v>0</v>
      </c>
      <c r="E46" s="3" t="s">
        <v>0</v>
      </c>
      <c r="F46" s="2"/>
      <c r="G46" s="2"/>
      <c r="H46" s="9"/>
      <c r="I46" s="41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1"/>
      <c r="B47" s="7"/>
      <c r="C47" s="7"/>
      <c r="D47" s="7"/>
      <c r="E47" s="9"/>
      <c r="F47" s="2"/>
      <c r="G47" s="2"/>
      <c r="H47" s="9"/>
      <c r="I47" s="41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1" t="s">
        <v>216</v>
      </c>
      <c r="B48" s="9"/>
      <c r="C48" s="9"/>
      <c r="D48" s="9"/>
      <c r="E48" s="46">
        <f>(E24*E24/(8*E22))+E22/2</f>
        <v>5.151249999999999</v>
      </c>
      <c r="F48" s="2"/>
      <c r="G48" s="2"/>
      <c r="H48" s="9"/>
      <c r="I48" s="41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3" t="s">
        <v>217</v>
      </c>
      <c r="B49" s="9"/>
      <c r="C49" s="9"/>
      <c r="D49" s="9"/>
      <c r="E49" s="47">
        <f>+E48-E22</f>
        <v>4.151249999999999</v>
      </c>
      <c r="F49" s="2"/>
      <c r="G49" s="2"/>
      <c r="H49" s="9"/>
      <c r="I49" s="41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1" t="s">
        <v>218</v>
      </c>
      <c r="B50" s="9"/>
      <c r="C50" s="9"/>
      <c r="D50" s="9"/>
      <c r="E50" s="48">
        <f>(+E48^2)*(ACOS(+E49/E48))-(+E49*SQRT((2*E22*E48)-E22^2))</f>
        <v>4.152801573467311</v>
      </c>
      <c r="F50" s="2"/>
      <c r="G50" s="2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7"/>
      <c r="B51" s="9"/>
      <c r="C51" s="9"/>
      <c r="D51" s="9"/>
      <c r="E51" s="2"/>
      <c r="F51" s="2"/>
      <c r="G51" s="2"/>
      <c r="H51" s="9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1" t="s">
        <v>63</v>
      </c>
      <c r="E52" s="65">
        <f>E21/E17</f>
        <v>0.2236842105263158</v>
      </c>
      <c r="F52" s="2"/>
      <c r="G52" s="2"/>
      <c r="H52" s="9"/>
      <c r="I52" s="9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0" t="s">
        <v>64</v>
      </c>
      <c r="E53" s="65">
        <f>E21/E19</f>
        <v>0.2236842105263158</v>
      </c>
      <c r="F53" s="2"/>
      <c r="G53" s="2"/>
      <c r="H53" s="9"/>
      <c r="I53" s="9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0" t="s">
        <v>219</v>
      </c>
      <c r="E54" s="50">
        <f>IF(E22&lt;0.25,0,E16-(E22/E52+E22/E53))</f>
        <v>15.458823529411763</v>
      </c>
      <c r="F54" s="2"/>
      <c r="G54" s="66"/>
      <c r="H54" s="9"/>
      <c r="I54" s="9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0" t="s">
        <v>220</v>
      </c>
      <c r="E55" s="50">
        <f>IF(E22&lt;0.25,0,((E16+E54)/2))</f>
        <v>19.929411764705883</v>
      </c>
      <c r="F55" s="2"/>
      <c r="G55" s="66"/>
      <c r="H55" s="9"/>
      <c r="I55" s="9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0"/>
      <c r="E56" s="49"/>
      <c r="F56" s="2"/>
      <c r="G56" s="2"/>
      <c r="H56" s="9"/>
      <c r="I56" s="9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1" t="s">
        <v>221</v>
      </c>
      <c r="B57" s="7"/>
      <c r="C57" s="7"/>
      <c r="D57" s="7"/>
      <c r="E57" s="50">
        <f>E24*E21*E16</f>
        <v>506.0559999999999</v>
      </c>
      <c r="F57" s="2"/>
      <c r="G57" s="2"/>
      <c r="H57" s="9"/>
      <c r="I57" s="9"/>
      <c r="J57" s="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1" t="s">
        <v>222</v>
      </c>
      <c r="B58" s="7"/>
      <c r="C58" s="7"/>
      <c r="D58" s="7"/>
      <c r="E58" s="50">
        <f>0.5*(E20-E24)*E21*E16</f>
        <v>1136.552</v>
      </c>
      <c r="F58" s="2"/>
      <c r="G58" s="2"/>
      <c r="H58" s="9"/>
      <c r="I58" s="9"/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1" t="s">
        <v>223</v>
      </c>
      <c r="B59" s="7"/>
      <c r="C59" s="7"/>
      <c r="D59" s="7"/>
      <c r="E59" s="50">
        <f>0.5*E21*E17*E24</f>
        <v>157.624</v>
      </c>
      <c r="F59" s="42"/>
      <c r="G59" s="2"/>
      <c r="H59" s="9"/>
      <c r="I59" s="9"/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1" t="s">
        <v>224</v>
      </c>
      <c r="B60" s="7"/>
      <c r="C60" s="7"/>
      <c r="D60" s="7"/>
      <c r="E60" s="50">
        <f>0.5*E21*E19*E24</f>
        <v>157.624</v>
      </c>
      <c r="F60" s="2"/>
      <c r="G60" s="2"/>
      <c r="H60" s="9"/>
      <c r="I60" s="9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1" t="s">
        <v>225</v>
      </c>
      <c r="B61" s="7"/>
      <c r="C61" s="7"/>
      <c r="D61" s="7"/>
      <c r="E61" s="50">
        <f>0.33333*E21*(E20-E24)*E17</f>
        <v>472.0059465599999</v>
      </c>
      <c r="F61" s="2"/>
      <c r="G61" s="2"/>
      <c r="H61" s="9"/>
      <c r="I61" s="9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1" t="s">
        <v>226</v>
      </c>
      <c r="B62" s="7"/>
      <c r="C62" s="7"/>
      <c r="D62" s="7"/>
      <c r="E62" s="50">
        <f>0.33333*E21*(E20-E24)*E19</f>
        <v>472.0059465599999</v>
      </c>
      <c r="F62" s="2"/>
      <c r="G62" s="2"/>
      <c r="H62" s="9"/>
      <c r="I62" s="9"/>
      <c r="J62" s="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1" t="s">
        <v>227</v>
      </c>
      <c r="E63" s="50">
        <f>E50*E55</f>
        <v>82.76289253474853</v>
      </c>
      <c r="F63" s="2"/>
      <c r="G63" s="2"/>
      <c r="H63" s="9"/>
      <c r="I63" s="9"/>
      <c r="J63" s="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2" t="s">
        <v>69</v>
      </c>
      <c r="E64" s="32"/>
      <c r="F64" s="2"/>
      <c r="G64" s="2"/>
      <c r="H64" s="9"/>
      <c r="I64" s="9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21" t="s">
        <v>253</v>
      </c>
      <c r="E65" s="51">
        <f>SUM(E57:E63)</f>
        <v>2984.630785654748</v>
      </c>
      <c r="F65" s="2"/>
      <c r="G65" s="2"/>
      <c r="H65" s="9"/>
      <c r="I65" s="9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0"/>
      <c r="E66" s="2"/>
      <c r="F66" s="2"/>
      <c r="G66" s="2"/>
      <c r="H66" s="9"/>
      <c r="I66" s="9"/>
      <c r="J66" s="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0"/>
      <c r="E67" s="2"/>
      <c r="F67" s="2"/>
      <c r="G67" s="2"/>
      <c r="H67" s="9"/>
      <c r="I67" s="9"/>
      <c r="J67" s="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1" t="s">
        <v>228</v>
      </c>
      <c r="B68" s="7"/>
      <c r="C68" s="7"/>
      <c r="D68" s="7"/>
      <c r="E68" s="52">
        <f>+(E20-E24)/2</f>
        <v>13.7</v>
      </c>
      <c r="F68" s="2"/>
      <c r="G68" s="2"/>
      <c r="H68" s="9"/>
      <c r="I68" s="9"/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1" t="s">
        <v>229</v>
      </c>
      <c r="E69" s="52">
        <f>+SQRT(E21^2+E17^2)</f>
        <v>15.57562197795003</v>
      </c>
      <c r="F69" s="2"/>
      <c r="G69" s="2"/>
      <c r="H69" s="9"/>
      <c r="I69" s="9"/>
      <c r="J69" s="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1" t="s">
        <v>230</v>
      </c>
      <c r="B70" s="7"/>
      <c r="C70" s="7"/>
      <c r="D70" s="7"/>
      <c r="E70" s="52">
        <f>+SQRT(E21^2+((E20-E24)/2)^2)</f>
        <v>14.115594213493102</v>
      </c>
      <c r="F70" s="2"/>
      <c r="G70" s="2"/>
      <c r="H70" s="9"/>
      <c r="I70" s="9"/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21" t="s">
        <v>231</v>
      </c>
      <c r="E71" s="53">
        <f>0.5*((E20-E24)*E69)+2*(0.5*E17*E70)</f>
        <v>427.9430531430105</v>
      </c>
      <c r="F71" s="2"/>
      <c r="G71" s="2"/>
      <c r="H71" s="9"/>
      <c r="I71" s="9"/>
      <c r="J71" s="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0"/>
      <c r="E72" s="2"/>
      <c r="F72" s="2"/>
      <c r="G72" s="2"/>
      <c r="H72" s="9"/>
      <c r="I72" s="9"/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1" t="s">
        <v>232</v>
      </c>
      <c r="B73" s="7"/>
      <c r="C73" s="7"/>
      <c r="D73" s="7"/>
      <c r="E73" s="52">
        <f>E68</f>
        <v>13.7</v>
      </c>
      <c r="F73" s="2"/>
      <c r="G73" s="2"/>
      <c r="H73" s="9"/>
      <c r="I73" s="9"/>
      <c r="J73" s="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1" t="s">
        <v>233</v>
      </c>
      <c r="E74" s="52">
        <f>+SQRT(E21^2+E19^2)</f>
        <v>15.57562197795003</v>
      </c>
      <c r="F74" s="2"/>
      <c r="G74" s="2"/>
      <c r="H74" s="9"/>
      <c r="I74" s="9"/>
      <c r="J74" s="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1" t="s">
        <v>234</v>
      </c>
      <c r="B75" s="7"/>
      <c r="C75" s="7"/>
      <c r="D75" s="7"/>
      <c r="E75" s="52">
        <f>+SQRT(E21^2+((E20-E24)/2)^2)</f>
        <v>14.115594213493102</v>
      </c>
      <c r="F75" s="2"/>
      <c r="G75" s="2"/>
      <c r="H75" s="9"/>
      <c r="I75" s="9"/>
      <c r="J75" s="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21" t="s">
        <v>235</v>
      </c>
      <c r="E76" s="53">
        <f>0.5*((E20-E24)*E74)+2*(0.5*E19*E75)</f>
        <v>427.9430531430105</v>
      </c>
      <c r="F76" s="2"/>
      <c r="G76" s="2"/>
      <c r="H76" s="9"/>
      <c r="I76" s="9"/>
      <c r="J76" s="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0"/>
      <c r="E77" s="54"/>
      <c r="F77" s="2"/>
      <c r="G77" s="2"/>
      <c r="H77" s="9"/>
      <c r="I77" s="9"/>
      <c r="J77" s="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20" t="s">
        <v>236</v>
      </c>
      <c r="E78" s="55">
        <f>2*E16*E70</f>
        <v>688.8409976184633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0"/>
      <c r="E79" s="5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20" t="s">
        <v>237</v>
      </c>
      <c r="E80" s="56">
        <f>E24*E69</f>
        <v>95.01129406549518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20" t="s">
        <v>238</v>
      </c>
      <c r="E81" s="56">
        <f>E24*E74</f>
        <v>95.01129406549518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1"/>
      <c r="B82" s="7"/>
      <c r="C82" s="7"/>
      <c r="D82" s="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1" t="s">
        <v>239</v>
      </c>
      <c r="B83" s="7"/>
      <c r="C83" s="7"/>
      <c r="D83" s="7"/>
      <c r="E83" s="57">
        <f>2*E48*ACOS((E49)/E48)</f>
        <v>6.528168531314655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21" t="s">
        <v>240</v>
      </c>
      <c r="B84" s="7"/>
      <c r="C84" s="7"/>
      <c r="D84" s="7"/>
      <c r="E84" s="58">
        <f>+E16*(MAX(E83,E24))</f>
        <v>159.28731216407758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1"/>
      <c r="B85" s="7"/>
      <c r="C85" s="7"/>
      <c r="D85" s="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2" t="s">
        <v>81</v>
      </c>
      <c r="B86" s="7"/>
      <c r="C86" s="7"/>
      <c r="D86" s="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21" t="s">
        <v>241</v>
      </c>
      <c r="E87" s="51">
        <f>E71+E76+E78+E80+E81+E84</f>
        <v>1894.0370041995523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6:26" ht="12.7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6:26" ht="12.7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6:26" ht="12.7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6:26" ht="12.7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6:26" ht="12.7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6:26" ht="12.7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6:26" ht="12.7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6:26" ht="12.7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</sheetData>
  <sheetProtection sheet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2"/>
  <sheetViews>
    <sheetView zoomScalePageLayoutView="0" workbookViewId="0" topLeftCell="A1">
      <selection activeCell="F38" sqref="F38"/>
    </sheetView>
  </sheetViews>
  <sheetFormatPr defaultColWidth="8.7109375" defaultRowHeight="12.75"/>
  <cols>
    <col min="1" max="1" width="27.7109375" style="0" customWidth="1"/>
    <col min="2" max="3" width="8.7109375" style="0" customWidth="1"/>
    <col min="4" max="4" width="74.140625" style="0" customWidth="1"/>
    <col min="5" max="5" width="16.57421875" style="0" customWidth="1"/>
    <col min="6" max="25" width="8.7109375" style="0" customWidth="1"/>
    <col min="26" max="26" width="4.8515625" style="0" customWidth="1"/>
    <col min="27" max="27" width="5.28125" style="0" customWidth="1"/>
    <col min="28" max="29" width="5.140625" style="0" customWidth="1"/>
  </cols>
  <sheetData>
    <row r="1" spans="1:41" ht="18">
      <c r="A1" s="1" t="s">
        <v>105</v>
      </c>
      <c r="E1" s="25" t="s">
        <v>44</v>
      </c>
      <c r="F1" s="34"/>
      <c r="G1" s="34"/>
      <c r="H1" s="34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2.75">
      <c r="A2" t="s">
        <v>18</v>
      </c>
      <c r="E2" s="11" t="s">
        <v>45</v>
      </c>
      <c r="F2" s="34"/>
      <c r="G2" s="34"/>
      <c r="H2" s="34"/>
      <c r="I2" s="9"/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2.75">
      <c r="A3" t="s">
        <v>19</v>
      </c>
      <c r="F3" s="2"/>
      <c r="G3" s="2"/>
      <c r="H3" s="9"/>
      <c r="I3" s="60"/>
      <c r="J3" s="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2.75">
      <c r="A4" t="s">
        <v>20</v>
      </c>
      <c r="E4" s="8" t="s">
        <v>46</v>
      </c>
      <c r="F4" s="2"/>
      <c r="G4" s="2"/>
      <c r="H4" s="9"/>
      <c r="I4" s="9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.75">
      <c r="A5" t="s">
        <v>103</v>
      </c>
      <c r="E5" s="17" t="s">
        <v>47</v>
      </c>
      <c r="F5" s="38"/>
      <c r="G5" s="38"/>
      <c r="H5" s="38"/>
      <c r="I5" s="39"/>
      <c r="J5" s="39"/>
      <c r="K5" s="3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6">
        <f>E26</f>
        <v>15</v>
      </c>
      <c r="AA5" s="37" t="s">
        <v>86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2.75">
      <c r="A6" s="6">
        <v>40702</v>
      </c>
      <c r="C6" t="s">
        <v>48</v>
      </c>
      <c r="F6" s="2"/>
      <c r="G6" s="2"/>
      <c r="H6" s="9"/>
      <c r="I6" s="60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6:41" ht="12.75">
      <c r="F7" s="2"/>
      <c r="G7" s="2"/>
      <c r="H7" s="9"/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2.75">
      <c r="A8" s="18" t="s">
        <v>106</v>
      </c>
      <c r="B8" s="27"/>
      <c r="C8" s="27"/>
      <c r="D8" s="27"/>
      <c r="E8" s="19"/>
      <c r="F8" s="2"/>
      <c r="G8" s="2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2.75">
      <c r="A9" s="18" t="s">
        <v>199</v>
      </c>
      <c r="B9" s="27"/>
      <c r="C9" s="27"/>
      <c r="D9" s="27"/>
      <c r="E9" s="19"/>
      <c r="F9" s="2"/>
      <c r="G9" s="2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2.75">
      <c r="A10" s="18" t="s">
        <v>107</v>
      </c>
      <c r="B10" s="27"/>
      <c r="C10" s="27"/>
      <c r="D10" s="27"/>
      <c r="E10" s="19"/>
      <c r="F10" s="2"/>
      <c r="G10" s="2"/>
      <c r="H10" s="9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6:41" ht="12.75">
      <c r="F11" s="2"/>
      <c r="G11" s="2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6:41" ht="12.75">
      <c r="F12" s="2"/>
      <c r="G12" s="2"/>
      <c r="H12" s="9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2.75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F13" s="2"/>
      <c r="G13" s="2"/>
      <c r="H13" s="9"/>
      <c r="I13" s="60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">
      <c r="A14" s="7" t="s">
        <v>49</v>
      </c>
      <c r="B14" s="7"/>
      <c r="C14" s="7"/>
      <c r="D14" s="7"/>
      <c r="E14" s="31">
        <v>65</v>
      </c>
      <c r="F14" s="2"/>
      <c r="G14" s="2"/>
      <c r="H14" s="9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">
      <c r="A15" s="23" t="s">
        <v>151</v>
      </c>
      <c r="B15" s="9"/>
      <c r="C15" s="9"/>
      <c r="D15" s="9"/>
      <c r="E15" s="31">
        <v>15</v>
      </c>
      <c r="F15" s="2"/>
      <c r="G15" s="2"/>
      <c r="H15" s="9"/>
      <c r="I15" s="60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">
      <c r="A16" s="23" t="s">
        <v>152</v>
      </c>
      <c r="B16" s="9"/>
      <c r="C16" s="9"/>
      <c r="D16" s="9"/>
      <c r="E16" s="31">
        <v>80</v>
      </c>
      <c r="F16" s="2"/>
      <c r="G16" s="2"/>
      <c r="H16" s="9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>
      <c r="A17" s="21" t="s">
        <v>153</v>
      </c>
      <c r="B17" s="7"/>
      <c r="C17" s="7"/>
      <c r="D17" s="7"/>
      <c r="E17" s="31">
        <v>50</v>
      </c>
      <c r="F17" s="2"/>
      <c r="G17" s="2"/>
      <c r="H17" s="9"/>
      <c r="I17" s="9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2.75">
      <c r="A18" s="7"/>
      <c r="B18" s="7"/>
      <c r="C18" s="7"/>
      <c r="D18" s="7"/>
      <c r="E18" s="32"/>
      <c r="F18" s="2"/>
      <c r="G18" s="2"/>
      <c r="H18" s="9"/>
      <c r="I18" s="60"/>
      <c r="J18" s="9"/>
      <c r="K18" s="2"/>
      <c r="L18" s="2"/>
      <c r="M18" s="2"/>
      <c r="N18" s="37">
        <f>E26</f>
        <v>15</v>
      </c>
      <c r="O18" s="37" t="s">
        <v>86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">
      <c r="A19" s="21" t="s">
        <v>154</v>
      </c>
      <c r="B19" s="7"/>
      <c r="C19" s="7"/>
      <c r="D19" s="7"/>
      <c r="E19" s="31">
        <v>50</v>
      </c>
      <c r="F19" s="2"/>
      <c r="G19" s="2"/>
      <c r="H19" s="9"/>
      <c r="I19" s="9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">
      <c r="A20" s="21" t="s">
        <v>155</v>
      </c>
      <c r="B20" s="7"/>
      <c r="C20" s="7"/>
      <c r="D20" s="7"/>
      <c r="E20" s="31">
        <v>110</v>
      </c>
      <c r="F20" s="2"/>
      <c r="G20" s="2"/>
      <c r="H20" s="9"/>
      <c r="I20" s="9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>
      <c r="A21" s="23" t="s">
        <v>156</v>
      </c>
      <c r="B21" s="9"/>
      <c r="C21" s="9"/>
      <c r="D21" s="9"/>
      <c r="E21" s="31">
        <v>11</v>
      </c>
      <c r="F21" s="2"/>
      <c r="G21" s="2"/>
      <c r="H21" s="9"/>
      <c r="I21" s="60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6">
        <f>E19</f>
        <v>50</v>
      </c>
      <c r="AC21" s="37" t="s">
        <v>86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21" t="s">
        <v>157</v>
      </c>
      <c r="B22" s="7"/>
      <c r="C22" s="7"/>
      <c r="D22" s="7"/>
      <c r="E22" s="31">
        <v>3</v>
      </c>
      <c r="F22" s="40" t="str">
        <f>+IF(+E22&lt;0.01,"Use 0.01 for no dome"," ")</f>
        <v> </v>
      </c>
      <c r="G22" s="2"/>
      <c r="H22" s="9"/>
      <c r="I22" s="9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75">
      <c r="A23" s="7" t="s">
        <v>50</v>
      </c>
      <c r="B23" s="7"/>
      <c r="C23" s="7"/>
      <c r="D23" s="7"/>
      <c r="E23" s="32"/>
      <c r="F23" s="2"/>
      <c r="G23" s="4"/>
      <c r="H23" s="9"/>
      <c r="I23" s="60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.75">
      <c r="A24" s="23" t="s">
        <v>158</v>
      </c>
      <c r="B24" s="9"/>
      <c r="C24" s="9"/>
      <c r="D24" s="9"/>
      <c r="E24" s="31">
        <v>20</v>
      </c>
      <c r="F24" s="40" t="str">
        <f>+IF(+E24&lt;5,"Use 0.01 for no dome"," ")</f>
        <v> </v>
      </c>
      <c r="G24" s="4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.75">
      <c r="A25" s="23" t="s">
        <v>99</v>
      </c>
      <c r="B25" s="9"/>
      <c r="C25" s="9"/>
      <c r="D25" s="9"/>
      <c r="E25" s="31">
        <v>1</v>
      </c>
      <c r="F25" s="4"/>
      <c r="G25" s="4"/>
      <c r="H25" s="9"/>
      <c r="I25" s="60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.75">
      <c r="A26" s="23" t="s">
        <v>159</v>
      </c>
      <c r="B26" s="9"/>
      <c r="C26" s="9"/>
      <c r="D26" s="9"/>
      <c r="E26" s="31">
        <v>15</v>
      </c>
      <c r="F26" s="4"/>
      <c r="G26" s="4"/>
      <c r="H26" s="9"/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.75">
      <c r="A27" s="23" t="s">
        <v>160</v>
      </c>
      <c r="B27" s="21"/>
      <c r="C27" s="21"/>
      <c r="D27" s="21"/>
      <c r="E27" s="31">
        <v>40</v>
      </c>
      <c r="F27" s="4"/>
      <c r="G27" s="4"/>
      <c r="H27" s="9"/>
      <c r="I27" s="60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.75">
      <c r="A28" s="23" t="s">
        <v>161</v>
      </c>
      <c r="B28" s="9"/>
      <c r="C28" s="9"/>
      <c r="D28" s="9"/>
      <c r="E28" s="31">
        <v>15</v>
      </c>
      <c r="F28" s="4"/>
      <c r="G28" s="4"/>
      <c r="H28" s="9"/>
      <c r="I28" s="9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.75">
      <c r="A29" s="23" t="s">
        <v>162</v>
      </c>
      <c r="B29" s="9"/>
      <c r="C29" s="9"/>
      <c r="D29" s="9"/>
      <c r="E29" s="31">
        <v>6</v>
      </c>
      <c r="F29" s="4"/>
      <c r="G29" s="4"/>
      <c r="H29" s="9"/>
      <c r="I29" s="9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.75">
      <c r="A30" s="23" t="s">
        <v>164</v>
      </c>
      <c r="B30" s="9"/>
      <c r="C30" s="9"/>
      <c r="D30" s="9"/>
      <c r="E30" s="33">
        <v>3</v>
      </c>
      <c r="F30" s="4"/>
      <c r="G30" s="4"/>
      <c r="H30" s="9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.75">
      <c r="A31" s="7"/>
      <c r="B31" s="7"/>
      <c r="C31" s="7"/>
      <c r="D31" s="7"/>
      <c r="F31" s="4"/>
      <c r="G31" s="4"/>
      <c r="H31" s="9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6">
        <f>E16</f>
        <v>80</v>
      </c>
      <c r="Z31" s="37" t="s">
        <v>86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.75">
      <c r="A32" s="23" t="s">
        <v>165</v>
      </c>
      <c r="B32" s="9"/>
      <c r="C32" s="9"/>
      <c r="D32" s="9"/>
      <c r="E32" s="12">
        <f>E65</f>
        <v>103901.40064590822</v>
      </c>
      <c r="F32" s="4"/>
      <c r="G32" s="4"/>
      <c r="H32" s="9"/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.75">
      <c r="A33" s="23" t="s">
        <v>166</v>
      </c>
      <c r="B33" s="9"/>
      <c r="C33" s="9"/>
      <c r="D33" s="9"/>
      <c r="E33" s="12">
        <f>+E32*E25</f>
        <v>103901.40064590822</v>
      </c>
      <c r="F33" s="4"/>
      <c r="G33" s="4"/>
      <c r="H33" s="9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.75">
      <c r="A34" s="23" t="s">
        <v>167</v>
      </c>
      <c r="B34" s="9"/>
      <c r="C34" s="9"/>
      <c r="D34" s="9"/>
      <c r="E34" s="13">
        <f>+E15*E32</f>
        <v>1558521.0096886232</v>
      </c>
      <c r="F34" s="13">
        <f>E34/2000</f>
        <v>779.2605048443116</v>
      </c>
      <c r="G34" s="14" t="s">
        <v>2</v>
      </c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.75">
      <c r="A35" s="23" t="s">
        <v>87</v>
      </c>
      <c r="B35" s="9"/>
      <c r="C35" s="9"/>
      <c r="D35" s="9"/>
      <c r="E35" s="13">
        <f>E34*E25</f>
        <v>1558521.0096886232</v>
      </c>
      <c r="F35" s="13">
        <f>E35/2000</f>
        <v>779.2605048443116</v>
      </c>
      <c r="G35" s="14" t="s">
        <v>2</v>
      </c>
      <c r="H35" s="9"/>
      <c r="I35" s="9"/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6">
        <f>E22</f>
        <v>3</v>
      </c>
      <c r="AE35" s="37" t="s">
        <v>86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.75">
      <c r="A36" s="7"/>
      <c r="B36" s="7"/>
      <c r="C36" s="7"/>
      <c r="D36" s="7"/>
      <c r="E36" s="43"/>
      <c r="F36" s="29"/>
      <c r="G36" s="15"/>
      <c r="H36" s="9"/>
      <c r="I36" s="41"/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.75">
      <c r="A37" s="23" t="s">
        <v>168</v>
      </c>
      <c r="B37" s="9"/>
      <c r="C37" s="9"/>
      <c r="D37" s="9"/>
      <c r="E37" s="12">
        <f>+E34/((100-E14)/100)</f>
        <v>4452917.170538924</v>
      </c>
      <c r="F37" s="12">
        <f>E37/2000</f>
        <v>2226.4585852694618</v>
      </c>
      <c r="G37" s="16" t="s">
        <v>14</v>
      </c>
      <c r="H37" s="9"/>
      <c r="I37" s="41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.75">
      <c r="A38" s="23" t="s">
        <v>51</v>
      </c>
      <c r="B38" s="9"/>
      <c r="C38" s="9"/>
      <c r="D38" s="9"/>
      <c r="E38" s="12">
        <f>E37*E25</f>
        <v>4452917.170538924</v>
      </c>
      <c r="F38" s="12">
        <f>E38/2000</f>
        <v>2226.4585852694618</v>
      </c>
      <c r="G38" s="16" t="s">
        <v>14</v>
      </c>
      <c r="H38" s="9"/>
      <c r="I38" s="9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.75">
      <c r="A39" s="21" t="s">
        <v>169</v>
      </c>
      <c r="B39" s="7"/>
      <c r="C39" s="7"/>
      <c r="D39" s="7"/>
      <c r="E39" s="44">
        <f>+E87</f>
        <v>20394.26109614966</v>
      </c>
      <c r="F39" s="2"/>
      <c r="G39" s="2"/>
      <c r="H39" s="9"/>
      <c r="I39" s="9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6">
        <f>E21</f>
        <v>11</v>
      </c>
      <c r="AE39" s="37" t="s">
        <v>86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.75">
      <c r="A40" s="21" t="s">
        <v>170</v>
      </c>
      <c r="B40" s="7"/>
      <c r="C40" s="7"/>
      <c r="D40" s="7"/>
      <c r="E40" s="44">
        <f>+E25*E39</f>
        <v>20394.26109614966</v>
      </c>
      <c r="F40" s="2"/>
      <c r="G40" s="2"/>
      <c r="H40" s="9"/>
      <c r="I40" s="9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.75">
      <c r="A41" s="23" t="s">
        <v>52</v>
      </c>
      <c r="B41" s="9"/>
      <c r="C41" s="9"/>
      <c r="D41" s="9"/>
      <c r="E41" s="12">
        <f>E16+E17+E19+2*E26+E27</f>
        <v>250</v>
      </c>
      <c r="F41" s="2"/>
      <c r="G41" s="2"/>
      <c r="H41" s="9"/>
      <c r="I41" s="9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.75">
      <c r="A42" s="23" t="s">
        <v>53</v>
      </c>
      <c r="B42" s="9"/>
      <c r="C42" s="9"/>
      <c r="D42" s="9"/>
      <c r="E42" s="12">
        <f>E20*E25+(E25-1)*E29+2*E28</f>
        <v>140</v>
      </c>
      <c r="F42" s="2"/>
      <c r="G42" s="2"/>
      <c r="H42" s="9"/>
      <c r="I42" s="9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.75">
      <c r="A43" s="23" t="s">
        <v>171</v>
      </c>
      <c r="B43" s="9"/>
      <c r="C43" s="9"/>
      <c r="D43" s="9"/>
      <c r="E43" s="12">
        <f>E41*E42</f>
        <v>35000</v>
      </c>
      <c r="F43" s="2"/>
      <c r="G43" s="2"/>
      <c r="H43" s="9"/>
      <c r="I43" s="9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6">
        <f>E17</f>
        <v>50</v>
      </c>
      <c r="W43" s="37" t="s">
        <v>86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.75">
      <c r="A44" s="9" t="s">
        <v>54</v>
      </c>
      <c r="B44" s="9"/>
      <c r="C44" s="9"/>
      <c r="D44" s="9"/>
      <c r="E44" s="5">
        <f>E43*E30</f>
        <v>105000</v>
      </c>
      <c r="F44" s="2"/>
      <c r="G44" s="2"/>
      <c r="H44" s="9"/>
      <c r="I44" s="9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>
      <c r="A45" s="7"/>
      <c r="B45" s="7"/>
      <c r="C45" s="7"/>
      <c r="D45" s="7"/>
      <c r="E45" s="2"/>
      <c r="F45" s="2"/>
      <c r="G45" s="2"/>
      <c r="H45" s="9"/>
      <c r="I45" s="41"/>
      <c r="J45" s="9"/>
      <c r="K45" s="2"/>
      <c r="L45" s="2"/>
      <c r="M45" s="36">
        <f>E20</f>
        <v>110</v>
      </c>
      <c r="N45" s="37" t="s">
        <v>86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>
      <c r="A46" s="10" t="s">
        <v>0</v>
      </c>
      <c r="B46" s="10" t="s">
        <v>0</v>
      </c>
      <c r="C46" s="10" t="s">
        <v>0</v>
      </c>
      <c r="D46" s="10" t="s">
        <v>0</v>
      </c>
      <c r="E46" s="3" t="s">
        <v>0</v>
      </c>
      <c r="F46" s="2"/>
      <c r="G46" s="2"/>
      <c r="H46" s="9"/>
      <c r="I46" s="41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>
      <c r="A47" s="7"/>
      <c r="B47" s="7"/>
      <c r="C47" s="7"/>
      <c r="D47" s="7"/>
      <c r="E47" s="9"/>
      <c r="F47" s="2"/>
      <c r="G47" s="2"/>
      <c r="H47" s="9"/>
      <c r="I47" s="41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>
      <c r="A48" s="21" t="s">
        <v>55</v>
      </c>
      <c r="B48" s="9"/>
      <c r="C48" s="9"/>
      <c r="D48" s="9"/>
      <c r="E48" s="46">
        <f>(E24*E24/(8*E22))+E22/2</f>
        <v>18.166666666666668</v>
      </c>
      <c r="F48" s="2"/>
      <c r="G48" s="2"/>
      <c r="H48" s="9"/>
      <c r="I48" s="41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6">
        <f>E24</f>
        <v>20</v>
      </c>
      <c r="Z48" s="37" t="s">
        <v>86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>
      <c r="A49" s="23" t="s">
        <v>56</v>
      </c>
      <c r="B49" s="9"/>
      <c r="C49" s="9"/>
      <c r="D49" s="9"/>
      <c r="E49" s="47">
        <f>+E48-E22</f>
        <v>15.166666666666668</v>
      </c>
      <c r="F49" s="2"/>
      <c r="G49" s="2"/>
      <c r="H49" s="9"/>
      <c r="I49" s="41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>
      <c r="A50" s="21" t="s">
        <v>172</v>
      </c>
      <c r="B50" s="9"/>
      <c r="C50" s="9"/>
      <c r="D50" s="9"/>
      <c r="E50" s="48">
        <f>(+E48^2)*(ACOS(+E49/E48))-(+E49*SQRT((2*E22*E48)-E22^2))</f>
        <v>40.71100973286326</v>
      </c>
      <c r="F50" s="2"/>
      <c r="G50" s="2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.75">
      <c r="A51" s="7"/>
      <c r="B51" s="9"/>
      <c r="C51" s="9"/>
      <c r="D51" s="9"/>
      <c r="E51" s="50"/>
      <c r="F51" s="2"/>
      <c r="G51" s="2"/>
      <c r="H51" s="9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.75">
      <c r="A52" s="21" t="s">
        <v>125</v>
      </c>
      <c r="B52" s="9"/>
      <c r="C52" s="9"/>
      <c r="D52" s="9"/>
      <c r="E52" s="49">
        <f>E21/E17</f>
        <v>0.22</v>
      </c>
      <c r="F52" s="2"/>
      <c r="G52" s="2"/>
      <c r="H52" s="9"/>
      <c r="I52" s="9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>
      <c r="A53" s="21" t="s">
        <v>126</v>
      </c>
      <c r="B53" s="9"/>
      <c r="C53" s="9"/>
      <c r="D53" s="9"/>
      <c r="E53" s="49">
        <f>E21/E19</f>
        <v>0.22</v>
      </c>
      <c r="F53" s="2"/>
      <c r="G53" s="2"/>
      <c r="H53" s="9"/>
      <c r="I53" s="9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>
      <c r="A54" s="21" t="s">
        <v>173</v>
      </c>
      <c r="B54" s="7"/>
      <c r="C54" s="7"/>
      <c r="D54" s="7"/>
      <c r="E54" s="50">
        <f>IF(E22&lt;0.25,0,E16-(E22/E52+E22/E53))</f>
        <v>52.72727272727273</v>
      </c>
      <c r="F54" s="2"/>
      <c r="G54" s="2"/>
      <c r="H54" s="9"/>
      <c r="I54" s="9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2.75">
      <c r="A55" s="21" t="s">
        <v>174</v>
      </c>
      <c r="B55" s="7"/>
      <c r="C55" s="7"/>
      <c r="D55" s="7"/>
      <c r="E55" s="50">
        <f>IF(E22&lt;0.25,0,((E16+E54)/2))</f>
        <v>66.36363636363636</v>
      </c>
      <c r="F55" s="2"/>
      <c r="G55" s="2"/>
      <c r="H55" s="9"/>
      <c r="I55" s="9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2.75">
      <c r="A56" s="21"/>
      <c r="B56" s="7"/>
      <c r="C56" s="7"/>
      <c r="D56" s="7"/>
      <c r="E56" s="49"/>
      <c r="F56" s="2"/>
      <c r="G56" s="2"/>
      <c r="H56" s="9"/>
      <c r="I56" s="9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2.75">
      <c r="A57" s="21" t="s">
        <v>175</v>
      </c>
      <c r="B57" s="7"/>
      <c r="C57" s="7"/>
      <c r="D57" s="7"/>
      <c r="E57" s="50">
        <f>E24*E21*E16</f>
        <v>17600</v>
      </c>
      <c r="F57" s="2"/>
      <c r="G57" s="2"/>
      <c r="H57" s="9"/>
      <c r="I57" s="9"/>
      <c r="J57" s="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2.75">
      <c r="A58" s="21" t="s">
        <v>176</v>
      </c>
      <c r="B58" s="7"/>
      <c r="C58" s="7"/>
      <c r="D58" s="7"/>
      <c r="E58" s="50">
        <f>0.5*(E20-E24)*E21*E16</f>
        <v>39600</v>
      </c>
      <c r="F58" s="2"/>
      <c r="G58" s="2"/>
      <c r="H58" s="9"/>
      <c r="I58" s="9"/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2.75">
      <c r="A59" s="21" t="s">
        <v>177</v>
      </c>
      <c r="B59" s="7"/>
      <c r="C59" s="7"/>
      <c r="D59" s="7"/>
      <c r="E59" s="50">
        <f>0.5*E21*E17*E24</f>
        <v>5500</v>
      </c>
      <c r="F59" s="42"/>
      <c r="G59" s="2"/>
      <c r="H59" s="9"/>
      <c r="I59" s="9"/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2.75">
      <c r="A60" s="21" t="s">
        <v>178</v>
      </c>
      <c r="B60" s="7"/>
      <c r="C60" s="7"/>
      <c r="D60" s="7"/>
      <c r="E60" s="50">
        <f>0.5*E21*E19*E24</f>
        <v>5500</v>
      </c>
      <c r="F60" s="2"/>
      <c r="G60" s="2"/>
      <c r="H60" s="9"/>
      <c r="I60" s="9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2.75">
      <c r="A61" s="21" t="s">
        <v>179</v>
      </c>
      <c r="B61" s="7"/>
      <c r="C61" s="7"/>
      <c r="D61" s="7"/>
      <c r="E61" s="50">
        <f>0.33333*E21*(E20-E24)*E17</f>
        <v>16499.835000000003</v>
      </c>
      <c r="F61" s="2"/>
      <c r="G61" s="2"/>
      <c r="H61" s="9"/>
      <c r="I61" s="9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2.75">
      <c r="A62" s="21" t="s">
        <v>180</v>
      </c>
      <c r="B62" s="7"/>
      <c r="C62" s="7"/>
      <c r="D62" s="7"/>
      <c r="E62" s="50">
        <f>0.33333*E21*(E20-E24)*E19</f>
        <v>16499.835000000003</v>
      </c>
      <c r="F62" s="2"/>
      <c r="G62" s="2"/>
      <c r="H62" s="9"/>
      <c r="I62" s="9"/>
      <c r="J62" s="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2.75">
      <c r="A63" s="21" t="s">
        <v>181</v>
      </c>
      <c r="B63" s="7"/>
      <c r="C63" s="7"/>
      <c r="D63" s="7"/>
      <c r="E63" s="50">
        <f>E50*E55</f>
        <v>2701.730645908198</v>
      </c>
      <c r="F63" s="2"/>
      <c r="G63" s="2"/>
      <c r="H63" s="9"/>
      <c r="I63" s="9"/>
      <c r="J63" s="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2.75">
      <c r="A64" s="22" t="s">
        <v>98</v>
      </c>
      <c r="B64" s="7"/>
      <c r="C64" s="7"/>
      <c r="D64" s="7"/>
      <c r="E64" s="32"/>
      <c r="F64" s="2"/>
      <c r="G64" s="2"/>
      <c r="H64" s="9"/>
      <c r="I64" s="9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.75">
      <c r="A65" s="20" t="s">
        <v>182</v>
      </c>
      <c r="D65" s="7"/>
      <c r="E65" s="51">
        <f>SUM(E57:E63)</f>
        <v>103901.40064590822</v>
      </c>
      <c r="F65" s="2"/>
      <c r="G65" s="2"/>
      <c r="H65" s="9"/>
      <c r="I65" s="9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4:41" ht="12.75">
      <c r="D66" s="7"/>
      <c r="E66" s="2"/>
      <c r="F66" s="2"/>
      <c r="G66" s="2"/>
      <c r="H66" s="9"/>
      <c r="I66" s="9"/>
      <c r="J66" s="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4:41" ht="12.75">
      <c r="D67" s="7"/>
      <c r="E67" s="2"/>
      <c r="F67" s="2"/>
      <c r="G67" s="2"/>
      <c r="H67" s="9"/>
      <c r="I67" s="9"/>
      <c r="J67" s="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>
      <c r="A68" s="20" t="s">
        <v>183</v>
      </c>
      <c r="D68" s="7"/>
      <c r="E68" s="52">
        <f>+(E20-E24)/2</f>
        <v>45</v>
      </c>
      <c r="F68" s="2"/>
      <c r="G68" s="2"/>
      <c r="H68" s="9"/>
      <c r="I68" s="9"/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>
      <c r="A69" s="20" t="s">
        <v>184</v>
      </c>
      <c r="D69" s="7"/>
      <c r="E69" s="52">
        <f>+SQRT(E21^2+E17^2)</f>
        <v>51.19570294468082</v>
      </c>
      <c r="F69" s="2"/>
      <c r="G69" s="2"/>
      <c r="H69" s="9"/>
      <c r="I69" s="9"/>
      <c r="J69" s="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>
      <c r="A70" s="20" t="s">
        <v>185</v>
      </c>
      <c r="D70" s="7"/>
      <c r="E70" s="52">
        <f>+SQRT(E21^2+((E20-E24)/2)^2)</f>
        <v>46.32493928760188</v>
      </c>
      <c r="F70" s="2"/>
      <c r="G70" s="2"/>
      <c r="H70" s="9"/>
      <c r="I70" s="9"/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.75">
      <c r="A71" s="20" t="s">
        <v>186</v>
      </c>
      <c r="D71" s="7"/>
      <c r="E71" s="53">
        <f>0.5*((E20-E24)*E69)+2*(0.5*E17*E70)</f>
        <v>4620.053596890732</v>
      </c>
      <c r="F71" s="2"/>
      <c r="G71" s="2"/>
      <c r="H71" s="9"/>
      <c r="I71" s="9"/>
      <c r="J71" s="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4:41" ht="12.75">
      <c r="D72" s="7"/>
      <c r="E72" s="2"/>
      <c r="F72" s="2"/>
      <c r="G72" s="2"/>
      <c r="H72" s="9"/>
      <c r="I72" s="9"/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">
      <c r="A73" s="20" t="s">
        <v>187</v>
      </c>
      <c r="D73" s="7"/>
      <c r="E73" s="52">
        <f>E68</f>
        <v>45</v>
      </c>
      <c r="F73" s="2"/>
      <c r="G73" s="2"/>
      <c r="H73" s="9"/>
      <c r="I73" s="9"/>
      <c r="J73" s="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">
      <c r="A74" s="20" t="s">
        <v>188</v>
      </c>
      <c r="D74" s="7"/>
      <c r="E74" s="52">
        <f>+SQRT(E21^2+E19^2)</f>
        <v>51.19570294468082</v>
      </c>
      <c r="F74" s="2"/>
      <c r="G74" s="2"/>
      <c r="H74" s="9"/>
      <c r="I74" s="9"/>
      <c r="J74" s="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">
      <c r="A75" s="20" t="s">
        <v>189</v>
      </c>
      <c r="D75" s="7"/>
      <c r="E75" s="52">
        <f>+SQRT(E21^2+((E20-E24)/2)^2)</f>
        <v>46.32493928760188</v>
      </c>
      <c r="F75" s="2"/>
      <c r="G75" s="2"/>
      <c r="H75" s="9"/>
      <c r="I75" s="9"/>
      <c r="J75" s="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.75">
      <c r="A76" s="20" t="s">
        <v>190</v>
      </c>
      <c r="D76" s="7"/>
      <c r="E76" s="53">
        <f>0.5*((E20-E24)*E74)+2*(0.5*E19*E75)</f>
        <v>4620.053596890732</v>
      </c>
      <c r="F76" s="2"/>
      <c r="G76" s="2"/>
      <c r="H76" s="9"/>
      <c r="I76" s="9"/>
      <c r="J76" s="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4:41" ht="12.75">
      <c r="D77" s="7"/>
      <c r="E77" s="54"/>
      <c r="F77" s="2"/>
      <c r="G77" s="2"/>
      <c r="H77" s="9"/>
      <c r="I77" s="9"/>
      <c r="J77" s="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.75">
      <c r="A78" s="20" t="s">
        <v>191</v>
      </c>
      <c r="E78" s="55">
        <f>2*E16*E70</f>
        <v>7411.9902860163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5:41" ht="12.75">
      <c r="E79" s="5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.75">
      <c r="A80" s="20" t="s">
        <v>192</v>
      </c>
      <c r="E80" s="56">
        <f>E24*E69</f>
        <v>1023.9140588936164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.75">
      <c r="A81" s="20" t="s">
        <v>193</v>
      </c>
      <c r="E81" s="56">
        <f>E24*E74</f>
        <v>1023.9140588936164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5:41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0" t="s">
        <v>194</v>
      </c>
      <c r="E83" s="59">
        <f>2*E48*ACOS((E49)/E48)</f>
        <v>21.17919373205834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.75">
      <c r="A84" s="20" t="s">
        <v>195</v>
      </c>
      <c r="E84" s="58">
        <f>+E16*(MAX(E83,E24))</f>
        <v>1694.3354985646672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5:41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8" t="s">
        <v>81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.75">
      <c r="A87" s="20" t="s">
        <v>196</v>
      </c>
      <c r="E87" s="51">
        <f>E71+E76+E78+E80+E81+E84</f>
        <v>20394.26109614966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5:41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5:41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5:41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5:41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5:41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5:41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5:41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6:41" ht="12.7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6:41" ht="12.7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6:41" ht="12.7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6:41" ht="12.7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6:41" ht="12.7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6:41" ht="12.7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6:41" ht="12.7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6:41" ht="12.7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6:41" ht="12.7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6:41" ht="12.7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6:41" ht="12.7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6:41" ht="12.7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6:41" ht="12.7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6:41" ht="12.7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6:41" ht="12.7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6:41" ht="12.7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6:41" ht="12.7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6:41" ht="12.7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6:41" ht="12.7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6:41" ht="12.7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6:41" ht="12.7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6:41" ht="12.7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6:41" ht="12.7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6:41" ht="12.7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6:41" ht="12.7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6:41" ht="12.7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6:41" ht="12.7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6:41" ht="12.7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</sheetData>
  <sheetProtection sheet="1"/>
  <printOptions/>
  <pageMargins left="0.75" right="0.75" top="1" bottom="1" header="0.5" footer="0.5"/>
  <pageSetup fitToHeight="1" fitToWidth="1" horizontalDpi="300" verticalDpi="300" orientation="portrait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1.57421875" style="0" customWidth="1"/>
    <col min="2" max="2" width="18.421875" style="0" customWidth="1"/>
    <col min="3" max="3" width="33.00390625" style="0" customWidth="1"/>
    <col min="4" max="4" width="52.00390625" style="0" customWidth="1"/>
    <col min="5" max="5" width="17.421875" style="0" customWidth="1"/>
    <col min="26" max="26" width="6.57421875" style="0" customWidth="1"/>
    <col min="27" max="27" width="6.8515625" style="0" customWidth="1"/>
    <col min="29" max="29" width="7.140625" style="0" customWidth="1"/>
    <col min="30" max="30" width="3.140625" style="0" customWidth="1"/>
  </cols>
  <sheetData>
    <row r="1" spans="1:39" ht="19.5">
      <c r="A1" s="1" t="s">
        <v>105</v>
      </c>
      <c r="E1" s="11" t="s">
        <v>44</v>
      </c>
      <c r="F1" s="34"/>
      <c r="G1" s="34"/>
      <c r="H1" s="34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.75">
      <c r="A2" t="s">
        <v>18</v>
      </c>
      <c r="E2" s="11" t="s">
        <v>45</v>
      </c>
      <c r="F2" s="34"/>
      <c r="G2" s="34"/>
      <c r="H2" s="34"/>
      <c r="I2" s="9"/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t="s">
        <v>19</v>
      </c>
      <c r="F3" s="2"/>
      <c r="G3" s="2"/>
      <c r="H3" s="9"/>
      <c r="I3" s="60"/>
      <c r="J3" s="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t="s">
        <v>20</v>
      </c>
      <c r="E4" s="8" t="s">
        <v>46</v>
      </c>
      <c r="F4" s="2"/>
      <c r="G4" s="2"/>
      <c r="H4" s="9"/>
      <c r="I4" s="9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2.75">
      <c r="A5" t="s">
        <v>103</v>
      </c>
      <c r="E5" s="17" t="s">
        <v>47</v>
      </c>
      <c r="F5" s="38"/>
      <c r="G5" s="38"/>
      <c r="H5" s="38"/>
      <c r="I5" s="39"/>
      <c r="J5" s="39"/>
      <c r="K5" s="3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6">
        <f>E26</f>
        <v>4.6</v>
      </c>
      <c r="AA5" s="37" t="s">
        <v>94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2.75">
      <c r="A6" s="6">
        <v>40962</v>
      </c>
      <c r="C6" t="s">
        <v>48</v>
      </c>
      <c r="F6" s="2"/>
      <c r="G6" s="2"/>
      <c r="H6" s="9"/>
      <c r="I6" s="60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6:39" ht="12.75">
      <c r="F7" s="2"/>
      <c r="G7" s="2"/>
      <c r="H7" s="9"/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2.75">
      <c r="A8" s="18" t="s">
        <v>106</v>
      </c>
      <c r="B8" s="27"/>
      <c r="C8" s="27"/>
      <c r="D8" s="27"/>
      <c r="E8" s="27"/>
      <c r="F8" s="2"/>
      <c r="G8" s="2"/>
      <c r="H8" s="9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.75">
      <c r="A9" s="18" t="s">
        <v>199</v>
      </c>
      <c r="B9" s="27"/>
      <c r="C9" s="27"/>
      <c r="D9" s="27"/>
      <c r="E9" s="27"/>
      <c r="F9" s="2"/>
      <c r="G9" s="2"/>
      <c r="H9" s="9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2.75">
      <c r="A10" s="18" t="s">
        <v>107</v>
      </c>
      <c r="B10" s="27"/>
      <c r="C10" s="27"/>
      <c r="D10" s="27"/>
      <c r="E10" s="27"/>
      <c r="F10" s="2"/>
      <c r="G10" s="2"/>
      <c r="H10" s="9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6:39" ht="12.75">
      <c r="F11" s="2"/>
      <c r="G11" s="2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6:39" ht="12.75">
      <c r="F12" s="2"/>
      <c r="G12" s="2"/>
      <c r="H12" s="9"/>
      <c r="I12" s="9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2.75">
      <c r="A13" s="3" t="s">
        <v>0</v>
      </c>
      <c r="B13" s="3" t="s">
        <v>0</v>
      </c>
      <c r="C13" s="3" t="s">
        <v>0</v>
      </c>
      <c r="D13" s="3" t="s">
        <v>0</v>
      </c>
      <c r="E13" s="3" t="s">
        <v>0</v>
      </c>
      <c r="F13" s="2"/>
      <c r="G13" s="2"/>
      <c r="H13" s="9"/>
      <c r="I13" s="60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">
      <c r="A14" s="7" t="s">
        <v>49</v>
      </c>
      <c r="B14" s="7"/>
      <c r="C14" s="7"/>
      <c r="D14" s="7"/>
      <c r="E14" s="31">
        <v>65</v>
      </c>
      <c r="F14" s="2"/>
      <c r="G14" s="2"/>
      <c r="H14" s="9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">
      <c r="A15" s="9" t="s">
        <v>104</v>
      </c>
      <c r="B15" s="9"/>
      <c r="C15" s="9"/>
      <c r="D15" s="9"/>
      <c r="E15" s="31">
        <v>240</v>
      </c>
      <c r="F15" s="2"/>
      <c r="G15" s="2"/>
      <c r="H15" s="9"/>
      <c r="I15" s="60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23" t="s">
        <v>108</v>
      </c>
      <c r="B16" s="9"/>
      <c r="C16" s="9"/>
      <c r="D16" s="9"/>
      <c r="E16" s="31">
        <v>24.4</v>
      </c>
      <c r="F16" s="2"/>
      <c r="G16" s="2"/>
      <c r="H16" s="9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">
      <c r="A17" s="21" t="s">
        <v>110</v>
      </c>
      <c r="B17" s="7"/>
      <c r="C17" s="7"/>
      <c r="D17" s="7"/>
      <c r="E17" s="31">
        <v>15.2</v>
      </c>
      <c r="F17" s="2"/>
      <c r="G17" s="2"/>
      <c r="H17" s="9"/>
      <c r="I17" s="9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.75">
      <c r="A18" s="7"/>
      <c r="B18" s="7"/>
      <c r="C18" s="7"/>
      <c r="D18" s="7"/>
      <c r="E18" s="32"/>
      <c r="F18" s="2"/>
      <c r="G18" s="2"/>
      <c r="H18" s="9"/>
      <c r="I18" s="60"/>
      <c r="J18" s="9"/>
      <c r="K18" s="2"/>
      <c r="L18" s="2"/>
      <c r="M18" s="2"/>
      <c r="N18" s="37">
        <f>E26</f>
        <v>4.6</v>
      </c>
      <c r="O18" s="37" t="s">
        <v>94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">
      <c r="A19" s="21" t="s">
        <v>109</v>
      </c>
      <c r="B19" s="7"/>
      <c r="C19" s="7"/>
      <c r="D19" s="7"/>
      <c r="E19" s="31">
        <v>15.2</v>
      </c>
      <c r="F19" s="2"/>
      <c r="G19" s="2"/>
      <c r="H19" s="9"/>
      <c r="I19" s="9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">
      <c r="A20" s="21" t="s">
        <v>111</v>
      </c>
      <c r="B20" s="7"/>
      <c r="C20" s="7"/>
      <c r="D20" s="7"/>
      <c r="E20" s="31">
        <v>33.5</v>
      </c>
      <c r="F20" s="2"/>
      <c r="G20" s="2"/>
      <c r="H20" s="9"/>
      <c r="I20" s="9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">
      <c r="A21" s="23" t="s">
        <v>112</v>
      </c>
      <c r="B21" s="9"/>
      <c r="C21" s="9"/>
      <c r="D21" s="9"/>
      <c r="E21" s="31">
        <v>3.4</v>
      </c>
      <c r="F21" s="2"/>
      <c r="G21" s="2"/>
      <c r="H21" s="9"/>
      <c r="I21" s="60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6">
        <f>E19</f>
        <v>15.2</v>
      </c>
      <c r="AC21" s="37" t="s">
        <v>94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1" t="s">
        <v>113</v>
      </c>
      <c r="B22" s="7"/>
      <c r="C22" s="7"/>
      <c r="D22" s="7"/>
      <c r="E22" s="31">
        <v>1</v>
      </c>
      <c r="F22" s="40" t="str">
        <f>+IF(+E22&lt;0.01,"Use 0.01 for no dome"," ")</f>
        <v> </v>
      </c>
      <c r="G22" s="2"/>
      <c r="H22" s="9"/>
      <c r="I22" s="9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.75">
      <c r="A23" s="7" t="s">
        <v>50</v>
      </c>
      <c r="B23" s="7"/>
      <c r="C23" s="7"/>
      <c r="D23" s="7"/>
      <c r="E23" s="32"/>
      <c r="F23" s="2"/>
      <c r="G23" s="4"/>
      <c r="H23" s="9"/>
      <c r="I23" s="60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.75">
      <c r="A24" s="23" t="s">
        <v>114</v>
      </c>
      <c r="B24" s="9"/>
      <c r="C24" s="9"/>
      <c r="D24" s="9"/>
      <c r="E24" s="31">
        <v>6.1</v>
      </c>
      <c r="F24" s="40" t="str">
        <f>+IF(+E24&lt;5,"Use 0.01 for no dome"," ")</f>
        <v> </v>
      </c>
      <c r="G24" s="4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.75">
      <c r="A25" s="23" t="s">
        <v>99</v>
      </c>
      <c r="B25" s="9"/>
      <c r="C25" s="9"/>
      <c r="D25" s="9"/>
      <c r="E25" s="31">
        <v>1</v>
      </c>
      <c r="F25" s="4"/>
      <c r="G25" s="4"/>
      <c r="H25" s="9"/>
      <c r="I25" s="60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.75">
      <c r="A26" s="23" t="s">
        <v>115</v>
      </c>
      <c r="B26" s="9"/>
      <c r="C26" s="9"/>
      <c r="D26" s="9"/>
      <c r="E26" s="31">
        <v>4.6</v>
      </c>
      <c r="F26" s="4"/>
      <c r="G26" s="4"/>
      <c r="H26" s="9"/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.75">
      <c r="A27" s="23" t="s">
        <v>116</v>
      </c>
      <c r="B27" s="21"/>
      <c r="C27" s="21"/>
      <c r="D27" s="21"/>
      <c r="E27" s="31">
        <v>12.2</v>
      </c>
      <c r="F27" s="4"/>
      <c r="G27" s="4"/>
      <c r="H27" s="9"/>
      <c r="I27" s="60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.75">
      <c r="A28" s="23" t="s">
        <v>117</v>
      </c>
      <c r="B28" s="9"/>
      <c r="C28" s="9"/>
      <c r="D28" s="9"/>
      <c r="E28" s="31">
        <v>4.6</v>
      </c>
      <c r="F28" s="4"/>
      <c r="G28" s="4"/>
      <c r="H28" s="9"/>
      <c r="I28" s="9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.75">
      <c r="A29" s="23" t="s">
        <v>118</v>
      </c>
      <c r="B29" s="9"/>
      <c r="C29" s="9"/>
      <c r="D29" s="9"/>
      <c r="E29" s="31">
        <v>1.8</v>
      </c>
      <c r="F29" s="4"/>
      <c r="G29" s="4"/>
      <c r="H29" s="9"/>
      <c r="I29" s="9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5.75">
      <c r="A30" s="23" t="s">
        <v>119</v>
      </c>
      <c r="B30" s="9"/>
      <c r="C30" s="9"/>
      <c r="D30" s="9"/>
      <c r="E30" s="33">
        <v>32</v>
      </c>
      <c r="F30" s="4"/>
      <c r="G30" s="4"/>
      <c r="H30" s="9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>
      <c r="A31" s="7"/>
      <c r="B31" s="7"/>
      <c r="C31" s="7"/>
      <c r="D31" s="7"/>
      <c r="F31" s="4"/>
      <c r="G31" s="4"/>
      <c r="H31" s="9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6">
        <f>E16</f>
        <v>24.4</v>
      </c>
      <c r="Z31" s="37" t="s">
        <v>94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>
      <c r="A32" s="23" t="s">
        <v>120</v>
      </c>
      <c r="B32" s="9"/>
      <c r="C32" s="9"/>
      <c r="D32" s="9"/>
      <c r="E32" s="12">
        <f>E65</f>
        <v>2984.630785654748</v>
      </c>
      <c r="F32" s="4"/>
      <c r="G32" s="4"/>
      <c r="H32" s="9"/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>
      <c r="A33" s="9" t="s">
        <v>102</v>
      </c>
      <c r="B33" s="9"/>
      <c r="C33" s="9"/>
      <c r="D33" s="9"/>
      <c r="E33" s="12">
        <f>+E32*E25</f>
        <v>2984.630785654748</v>
      </c>
      <c r="F33" s="4"/>
      <c r="G33" s="4"/>
      <c r="H33" s="9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>
      <c r="A34" s="23" t="s">
        <v>121</v>
      </c>
      <c r="B34" s="9"/>
      <c r="C34" s="9"/>
      <c r="D34" s="9"/>
      <c r="E34" s="13">
        <f>+E15*E32</f>
        <v>716311.3885571394</v>
      </c>
      <c r="F34" s="13">
        <f>E34/1000</f>
        <v>716.3113885571395</v>
      </c>
      <c r="G34" s="14" t="s">
        <v>96</v>
      </c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>
      <c r="A35" s="23" t="s">
        <v>95</v>
      </c>
      <c r="B35" s="9"/>
      <c r="C35" s="9"/>
      <c r="D35" s="9"/>
      <c r="E35" s="13">
        <f>E34*E25</f>
        <v>716311.3885571394</v>
      </c>
      <c r="F35" s="13">
        <f>E35/1000</f>
        <v>716.3113885571395</v>
      </c>
      <c r="G35" s="14" t="s">
        <v>96</v>
      </c>
      <c r="H35" s="9"/>
      <c r="I35" s="9"/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6">
        <f>E22</f>
        <v>1</v>
      </c>
      <c r="AE35" s="37" t="s">
        <v>94</v>
      </c>
      <c r="AF35" s="2"/>
      <c r="AG35" s="2"/>
      <c r="AH35" s="2"/>
      <c r="AI35" s="2"/>
      <c r="AJ35" s="2"/>
      <c r="AK35" s="2"/>
      <c r="AL35" s="2"/>
      <c r="AM35" s="2"/>
    </row>
    <row r="36" spans="1:39" ht="15.75">
      <c r="A36" s="7"/>
      <c r="B36" s="7"/>
      <c r="C36" s="7"/>
      <c r="D36" s="7"/>
      <c r="E36" s="43"/>
      <c r="F36" s="29"/>
      <c r="G36" s="15"/>
      <c r="H36" s="9"/>
      <c r="I36" s="41"/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>
      <c r="A37" s="23" t="s">
        <v>122</v>
      </c>
      <c r="B37" s="9"/>
      <c r="C37" s="9"/>
      <c r="D37" s="9"/>
      <c r="E37" s="12">
        <f>+E34/((100-E14)/100)</f>
        <v>2046603.9673061129</v>
      </c>
      <c r="F37" s="12">
        <f>E37/1000</f>
        <v>2046.603967306113</v>
      </c>
      <c r="G37" s="16" t="s">
        <v>97</v>
      </c>
      <c r="H37" s="9"/>
      <c r="I37" s="41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>
      <c r="A38" s="9" t="s">
        <v>88</v>
      </c>
      <c r="B38" s="9"/>
      <c r="C38" s="9"/>
      <c r="D38" s="9"/>
      <c r="E38" s="12">
        <f>E37*E25</f>
        <v>2046603.9673061129</v>
      </c>
      <c r="F38" s="12">
        <f>E38/1000</f>
        <v>2046.603967306113</v>
      </c>
      <c r="G38" s="16" t="s">
        <v>97</v>
      </c>
      <c r="H38" s="9"/>
      <c r="I38" s="9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>
      <c r="A39" s="21" t="s">
        <v>123</v>
      </c>
      <c r="B39" s="7"/>
      <c r="C39" s="7"/>
      <c r="D39" s="7"/>
      <c r="E39" s="44">
        <f>+E87</f>
        <v>1894.0370041995523</v>
      </c>
      <c r="F39" s="2"/>
      <c r="G39" s="2"/>
      <c r="H39" s="9"/>
      <c r="I39" s="9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6">
        <f>E21</f>
        <v>3.4</v>
      </c>
      <c r="AE39" s="37" t="s">
        <v>94</v>
      </c>
      <c r="AF39" s="2"/>
      <c r="AG39" s="2"/>
      <c r="AH39" s="2"/>
      <c r="AI39" s="2"/>
      <c r="AJ39" s="2"/>
      <c r="AK39" s="2"/>
      <c r="AL39" s="2"/>
      <c r="AM39" s="2"/>
    </row>
    <row r="40" spans="1:39" ht="15.75">
      <c r="A40" s="7" t="s">
        <v>101</v>
      </c>
      <c r="B40" s="7"/>
      <c r="C40" s="7"/>
      <c r="D40" s="7"/>
      <c r="E40" s="44">
        <f>+E25*E39</f>
        <v>1894.0370041995523</v>
      </c>
      <c r="F40" s="2"/>
      <c r="G40" s="2"/>
      <c r="H40" s="9"/>
      <c r="I40" s="9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.75">
      <c r="A41" s="9" t="s">
        <v>90</v>
      </c>
      <c r="B41" s="9"/>
      <c r="C41" s="9"/>
      <c r="D41" s="9"/>
      <c r="E41" s="12">
        <f>E16+E17+E19+2*E26+E27</f>
        <v>76.2</v>
      </c>
      <c r="F41" s="2"/>
      <c r="G41" s="2"/>
      <c r="H41" s="9"/>
      <c r="I41" s="9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.75">
      <c r="A42" s="9" t="s">
        <v>91</v>
      </c>
      <c r="B42" s="9"/>
      <c r="C42" s="9"/>
      <c r="D42" s="9"/>
      <c r="E42" s="12">
        <f>E20*E25+(E25-1)*E29+2*E28</f>
        <v>42.7</v>
      </c>
      <c r="F42" s="2"/>
      <c r="G42" s="2"/>
      <c r="H42" s="9"/>
      <c r="I42" s="9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.75">
      <c r="A43" s="23" t="s">
        <v>100</v>
      </c>
      <c r="B43" s="9"/>
      <c r="C43" s="9"/>
      <c r="D43" s="9"/>
      <c r="E43" s="12">
        <f>E41*E42</f>
        <v>3253.7400000000002</v>
      </c>
      <c r="F43" s="2"/>
      <c r="G43" s="2"/>
      <c r="H43" s="9"/>
      <c r="I43" s="9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6">
        <f>E17</f>
        <v>15.2</v>
      </c>
      <c r="W43" s="37" t="s">
        <v>94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75">
      <c r="A44" s="9" t="s">
        <v>54</v>
      </c>
      <c r="B44" s="9"/>
      <c r="C44" s="9"/>
      <c r="D44" s="9"/>
      <c r="E44" s="5">
        <f>E43*E30</f>
        <v>104119.68000000001</v>
      </c>
      <c r="F44" s="2"/>
      <c r="G44" s="2"/>
      <c r="H44" s="9"/>
      <c r="I44" s="9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2.75">
      <c r="A45" s="7"/>
      <c r="B45" s="7"/>
      <c r="C45" s="7"/>
      <c r="D45" s="7"/>
      <c r="E45" s="2"/>
      <c r="F45" s="2"/>
      <c r="G45" s="2"/>
      <c r="H45" s="9"/>
      <c r="I45" s="41"/>
      <c r="J45" s="9"/>
      <c r="K45" s="2"/>
      <c r="L45" s="2"/>
      <c r="M45" s="36">
        <f>E20</f>
        <v>33.5</v>
      </c>
      <c r="N45" s="37" t="s">
        <v>94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2.75">
      <c r="A46" s="10" t="s">
        <v>0</v>
      </c>
      <c r="B46" s="10" t="s">
        <v>0</v>
      </c>
      <c r="C46" s="10" t="s">
        <v>0</v>
      </c>
      <c r="D46" s="10" t="s">
        <v>0</v>
      </c>
      <c r="E46" s="3" t="s">
        <v>0</v>
      </c>
      <c r="F46" s="2"/>
      <c r="G46" s="2"/>
      <c r="H46" s="9"/>
      <c r="I46" s="41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2.75">
      <c r="A47" s="7"/>
      <c r="B47" s="7"/>
      <c r="C47" s="7"/>
      <c r="D47" s="7"/>
      <c r="E47" s="9"/>
      <c r="F47" s="2"/>
      <c r="G47" s="2"/>
      <c r="H47" s="9"/>
      <c r="I47" s="41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>
      <c r="A48" s="7" t="s">
        <v>92</v>
      </c>
      <c r="B48" s="9"/>
      <c r="C48" s="9"/>
      <c r="D48" s="9"/>
      <c r="E48" s="46">
        <f>(E24*E24/(8*E22))+E22/2</f>
        <v>5.151249999999999</v>
      </c>
      <c r="F48" s="2"/>
      <c r="G48" s="2"/>
      <c r="H48" s="9"/>
      <c r="I48" s="41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6">
        <f>E24</f>
        <v>6.1</v>
      </c>
      <c r="Z48" s="37" t="s">
        <v>94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2.75">
      <c r="A49" s="9" t="s">
        <v>93</v>
      </c>
      <c r="B49" s="9"/>
      <c r="C49" s="9"/>
      <c r="D49" s="9"/>
      <c r="E49" s="47">
        <f>+E48-E22</f>
        <v>4.151249999999999</v>
      </c>
      <c r="F49" s="2"/>
      <c r="G49" s="2"/>
      <c r="H49" s="9"/>
      <c r="I49" s="41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.75">
      <c r="A50" s="21" t="s">
        <v>124</v>
      </c>
      <c r="B50" s="9"/>
      <c r="C50" s="9"/>
      <c r="D50" s="9"/>
      <c r="E50" s="48">
        <f>(+E48^2)*(ACOS(+E49/E48))-(+E49*SQRT((2*E22*E48)-E22^2))</f>
        <v>4.152801573467311</v>
      </c>
      <c r="F50" s="2"/>
      <c r="G50" s="2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"/>
      <c r="B51" s="9"/>
      <c r="C51" s="9"/>
      <c r="D51" s="9"/>
      <c r="E51" s="50"/>
      <c r="F51" s="2"/>
      <c r="G51" s="2"/>
      <c r="H51" s="9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2.75">
      <c r="A52" s="21" t="s">
        <v>125</v>
      </c>
      <c r="B52" s="9"/>
      <c r="C52" s="9"/>
      <c r="D52" s="9"/>
      <c r="E52" s="61">
        <f>E21/E17</f>
        <v>0.2236842105263158</v>
      </c>
      <c r="F52" s="2"/>
      <c r="G52" s="2"/>
      <c r="H52" s="9"/>
      <c r="I52" s="9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2.75">
      <c r="A53" s="21" t="s">
        <v>126</v>
      </c>
      <c r="B53" s="9"/>
      <c r="C53" s="9"/>
      <c r="D53" s="9"/>
      <c r="E53" s="61">
        <f>E21/E19</f>
        <v>0.2236842105263158</v>
      </c>
      <c r="F53" s="2"/>
      <c r="G53" s="2"/>
      <c r="H53" s="9"/>
      <c r="I53" s="9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>
      <c r="A54" s="21" t="s">
        <v>127</v>
      </c>
      <c r="B54" s="7"/>
      <c r="C54" s="7"/>
      <c r="D54" s="7"/>
      <c r="E54" s="50">
        <f>IF(E22&lt;0.25,0,E16-(E22/E52+E22/E53))</f>
        <v>15.458823529411763</v>
      </c>
      <c r="F54" s="2"/>
      <c r="G54" s="2"/>
      <c r="H54" s="9"/>
      <c r="I54" s="9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2.75">
      <c r="A55" s="21" t="s">
        <v>128</v>
      </c>
      <c r="B55" s="7"/>
      <c r="C55" s="7"/>
      <c r="D55" s="7"/>
      <c r="E55" s="50">
        <f>IF(E22&lt;0.25,0,((E16+E54)/2))</f>
        <v>19.929411764705883</v>
      </c>
      <c r="F55" s="2"/>
      <c r="G55" s="2"/>
      <c r="H55" s="9"/>
      <c r="I55" s="9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2.75">
      <c r="A56" s="21"/>
      <c r="B56" s="7"/>
      <c r="C56" s="7"/>
      <c r="D56" s="7"/>
      <c r="E56" s="49"/>
      <c r="F56" s="2"/>
      <c r="G56" s="2"/>
      <c r="H56" s="9"/>
      <c r="I56" s="9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2.75">
      <c r="A57" s="21" t="s">
        <v>129</v>
      </c>
      <c r="B57" s="7"/>
      <c r="C57" s="7"/>
      <c r="D57" s="7"/>
      <c r="E57" s="50">
        <f>E24*E21*E16</f>
        <v>506.0559999999999</v>
      </c>
      <c r="F57" s="2"/>
      <c r="G57" s="2"/>
      <c r="H57" s="9"/>
      <c r="I57" s="9"/>
      <c r="J57" s="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2.75">
      <c r="A58" s="21" t="s">
        <v>130</v>
      </c>
      <c r="B58" s="7"/>
      <c r="C58" s="7"/>
      <c r="D58" s="7"/>
      <c r="E58" s="50">
        <f>0.5*(E20-E24)*E21*E16</f>
        <v>1136.552</v>
      </c>
      <c r="F58" s="2"/>
      <c r="G58" s="2"/>
      <c r="H58" s="9"/>
      <c r="I58" s="9"/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2.75">
      <c r="A59" s="21" t="s">
        <v>131</v>
      </c>
      <c r="B59" s="7"/>
      <c r="C59" s="7"/>
      <c r="D59" s="7"/>
      <c r="E59" s="50">
        <f>0.5*E21*E17*E24</f>
        <v>157.624</v>
      </c>
      <c r="F59" s="42"/>
      <c r="G59" s="2"/>
      <c r="H59" s="9"/>
      <c r="I59" s="9"/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2.75">
      <c r="A60" s="21" t="s">
        <v>132</v>
      </c>
      <c r="B60" s="7"/>
      <c r="C60" s="7"/>
      <c r="D60" s="7"/>
      <c r="E60" s="50">
        <f>0.5*E21*E19*E24</f>
        <v>157.624</v>
      </c>
      <c r="F60" s="2"/>
      <c r="G60" s="2"/>
      <c r="H60" s="9"/>
      <c r="I60" s="9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2.75">
      <c r="A61" s="21" t="s">
        <v>133</v>
      </c>
      <c r="B61" s="7"/>
      <c r="C61" s="7"/>
      <c r="D61" s="7"/>
      <c r="E61" s="50">
        <f>0.33333*E21*(E20-E24)*E17</f>
        <v>472.0059465599999</v>
      </c>
      <c r="F61" s="2"/>
      <c r="G61" s="2"/>
      <c r="H61" s="9"/>
      <c r="I61" s="9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2.75">
      <c r="A62" s="21" t="s">
        <v>134</v>
      </c>
      <c r="B62" s="7"/>
      <c r="C62" s="7"/>
      <c r="D62" s="7"/>
      <c r="E62" s="50">
        <f>0.33333*E21*(E20-E24)*E19</f>
        <v>472.0059465599999</v>
      </c>
      <c r="F62" s="2"/>
      <c r="G62" s="2"/>
      <c r="H62" s="9"/>
      <c r="I62" s="9"/>
      <c r="J62" s="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2.75">
      <c r="A63" s="21" t="s">
        <v>135</v>
      </c>
      <c r="B63" s="7"/>
      <c r="C63" s="7"/>
      <c r="D63" s="7"/>
      <c r="E63" s="50">
        <f>E50*E55</f>
        <v>82.76289253474853</v>
      </c>
      <c r="F63" s="2"/>
      <c r="G63" s="2"/>
      <c r="H63" s="9"/>
      <c r="I63" s="9"/>
      <c r="J63" s="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2.75">
      <c r="A64" s="22" t="s">
        <v>197</v>
      </c>
      <c r="B64" s="7"/>
      <c r="C64" s="7"/>
      <c r="D64" s="7"/>
      <c r="E64" s="32"/>
      <c r="F64" s="2"/>
      <c r="G64" s="2"/>
      <c r="H64" s="9"/>
      <c r="I64" s="9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>
      <c r="A65" t="s">
        <v>136</v>
      </c>
      <c r="D65" s="7"/>
      <c r="E65" s="62">
        <f>SUM(E57:E63)</f>
        <v>2984.630785654748</v>
      </c>
      <c r="F65" s="2"/>
      <c r="G65" s="2"/>
      <c r="H65" s="9"/>
      <c r="I65" s="9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4:39" ht="12.75">
      <c r="D66" s="7"/>
      <c r="E66" s="2"/>
      <c r="F66" s="2"/>
      <c r="G66" s="2"/>
      <c r="H66" s="9"/>
      <c r="I66" s="9"/>
      <c r="J66" s="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4:39" ht="12.75">
      <c r="D67" s="7"/>
      <c r="E67" s="2"/>
      <c r="F67" s="2"/>
      <c r="G67" s="2"/>
      <c r="H67" s="9"/>
      <c r="I67" s="9"/>
      <c r="J67" s="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">
      <c r="A68" t="s">
        <v>137</v>
      </c>
      <c r="D68" s="7"/>
      <c r="E68" s="63">
        <f>+(E20-E24)/2</f>
        <v>13.7</v>
      </c>
      <c r="F68" s="2"/>
      <c r="G68" s="2"/>
      <c r="H68" s="9"/>
      <c r="I68" s="9"/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">
      <c r="A69" t="s">
        <v>138</v>
      </c>
      <c r="D69" s="7"/>
      <c r="E69" s="63">
        <f>+SQRT(E21^2+E17^2)</f>
        <v>15.57562197795003</v>
      </c>
      <c r="F69" s="2"/>
      <c r="G69" s="2"/>
      <c r="H69" s="9"/>
      <c r="I69" s="9"/>
      <c r="J69" s="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">
      <c r="A70" t="s">
        <v>139</v>
      </c>
      <c r="D70" s="7"/>
      <c r="E70" s="63">
        <f>+SQRT(E21^2+((E20-E24)/2)^2)</f>
        <v>14.115594213493102</v>
      </c>
      <c r="F70" s="2"/>
      <c r="G70" s="2"/>
      <c r="H70" s="9"/>
      <c r="I70" s="9"/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>
      <c r="A71" t="s">
        <v>140</v>
      </c>
      <c r="D71" s="7"/>
      <c r="E71" s="53">
        <f>0.5*((E20-E24)*E69)+2*(0.5*E17*E70)</f>
        <v>427.9430531430105</v>
      </c>
      <c r="F71" s="2"/>
      <c r="G71" s="2"/>
      <c r="H71" s="9"/>
      <c r="I71" s="9"/>
      <c r="J71" s="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4:39" ht="12.75">
      <c r="D72" s="7"/>
      <c r="E72" s="2"/>
      <c r="F72" s="2"/>
      <c r="G72" s="2"/>
      <c r="H72" s="9"/>
      <c r="I72" s="9"/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">
      <c r="A73" t="s">
        <v>141</v>
      </c>
      <c r="D73" s="7"/>
      <c r="E73" s="63">
        <f>E68</f>
        <v>13.7</v>
      </c>
      <c r="F73" s="2"/>
      <c r="G73" s="2"/>
      <c r="H73" s="9"/>
      <c r="I73" s="9"/>
      <c r="J73" s="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">
      <c r="A74" t="s">
        <v>142</v>
      </c>
      <c r="D74" s="7"/>
      <c r="E74" s="63">
        <f>+SQRT(E21^2+E19^2)</f>
        <v>15.57562197795003</v>
      </c>
      <c r="F74" s="2"/>
      <c r="G74" s="2"/>
      <c r="H74" s="9"/>
      <c r="I74" s="9"/>
      <c r="J74" s="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">
      <c r="A75" t="s">
        <v>143</v>
      </c>
      <c r="D75" s="7"/>
      <c r="E75" s="63">
        <f>+SQRT(E21^2+((E20-E24)/2)^2)</f>
        <v>14.115594213493102</v>
      </c>
      <c r="F75" s="2"/>
      <c r="G75" s="2"/>
      <c r="H75" s="9"/>
      <c r="I75" s="9"/>
      <c r="J75" s="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>
      <c r="A76" t="s">
        <v>144</v>
      </c>
      <c r="D76" s="7"/>
      <c r="E76" s="53">
        <f>0.5*((E20-E24)*E74)+2*(0.5*E19*E75)</f>
        <v>427.9430531430105</v>
      </c>
      <c r="F76" s="2"/>
      <c r="G76" s="2"/>
      <c r="H76" s="9"/>
      <c r="I76" s="9"/>
      <c r="J76" s="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4:39" ht="12.75">
      <c r="D77" s="7"/>
      <c r="E77" s="54"/>
      <c r="F77" s="2"/>
      <c r="G77" s="2"/>
      <c r="H77" s="9"/>
      <c r="I77" s="9"/>
      <c r="J77" s="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>
      <c r="A78" t="s">
        <v>145</v>
      </c>
      <c r="E78" s="55">
        <f>2*E16*E70</f>
        <v>688.8409976184633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5:39" ht="12.75">
      <c r="E79" s="5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>
      <c r="A80" t="s">
        <v>146</v>
      </c>
      <c r="E80" s="56">
        <f>E24*E69</f>
        <v>95.01129406549518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>
      <c r="A81" t="s">
        <v>147</v>
      </c>
      <c r="E81" s="56">
        <f>E24*E74</f>
        <v>95.01129406549518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5:39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2.75">
      <c r="A83" t="s">
        <v>148</v>
      </c>
      <c r="E83" s="59">
        <f>2*E48*ACOS((E49)/E48)</f>
        <v>6.528168531314655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>
      <c r="A84" t="s">
        <v>149</v>
      </c>
      <c r="E84" s="58">
        <f>+E16*(MAX(E83,E24))</f>
        <v>159.28731216407758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5:39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2.75">
      <c r="A86" s="30" t="s">
        <v>198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.75">
      <c r="A87" t="s">
        <v>150</v>
      </c>
      <c r="E87" s="51">
        <f>E71+E76+E78+E80+E81+E84</f>
        <v>1894.0370041995523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5:39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5:39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5:39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5:39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5:39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5:39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5:39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6:39" ht="12.7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6:39" ht="12.7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6:39" ht="12.7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6:39" ht="12.7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6:39" ht="12.7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6:39" ht="12.7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6:39" ht="12.7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6:39" ht="12.7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6:39" ht="12.7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6:39" ht="12.7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</sheetData>
  <sheetProtection sheet="1"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Holmes</dc:creator>
  <cp:keywords/>
  <dc:description/>
  <cp:lastModifiedBy>Brian Holmes</cp:lastModifiedBy>
  <cp:lastPrinted>2011-06-02T18:25:47Z</cp:lastPrinted>
  <dcterms:created xsi:type="dcterms:W3CDTF">2001-10-23T19:26:59Z</dcterms:created>
  <dcterms:modified xsi:type="dcterms:W3CDTF">2012-02-23T15:11:15Z</dcterms:modified>
  <cp:category/>
  <cp:version/>
  <cp:contentType/>
  <cp:contentStatus/>
</cp:coreProperties>
</file>