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<sst xmlns="http://schemas.openxmlformats.org/spreadsheetml/2006/main" count="293" uniqueCount="119">
  <si>
    <t>Spreadseet to Compare Round Bale Storage Costs.</t>
  </si>
  <si>
    <t>Brian Holmes</t>
  </si>
  <si>
    <t>Professor and Extension Specialist</t>
  </si>
  <si>
    <t>Biological Systems Engineering Department</t>
  </si>
  <si>
    <t>University of Wisconsin-Madison</t>
  </si>
  <si>
    <t>608-262-0096</t>
  </si>
  <si>
    <t>bjholmes@wisc.edu</t>
  </si>
  <si>
    <t>INPUT</t>
  </si>
  <si>
    <t>Low Hay Value ($/T DM)</t>
  </si>
  <si>
    <t>Bale Diameter (ft)</t>
  </si>
  <si>
    <t>Dry Matter Loss (%)</t>
  </si>
  <si>
    <t xml:space="preserve">          Outside Ground</t>
  </si>
  <si>
    <t xml:space="preserve">          Outside Crushed Rock Pad</t>
  </si>
  <si>
    <t xml:space="preserve">          Outside Pad w Pallets</t>
  </si>
  <si>
    <t xml:space="preserve">          Outside Pad w Pallets &amp; Tarp</t>
  </si>
  <si>
    <t xml:space="preserve">          Inside Building</t>
  </si>
  <si>
    <t>Building Inputs</t>
  </si>
  <si>
    <t>Length (ft)</t>
  </si>
  <si>
    <t>Width (ft)</t>
  </si>
  <si>
    <t>Height (ft)</t>
  </si>
  <si>
    <t>Area (sq ft)=</t>
  </si>
  <si>
    <t>Capacity (T DM)</t>
  </si>
  <si>
    <t>Unit Capacity (sq ft/T Hay @ 16% Moisture)</t>
  </si>
  <si>
    <t>Unit Building Cost ($/sq ft)</t>
  </si>
  <si>
    <t>Unit Floor Cost ($/sq ft)</t>
  </si>
  <si>
    <t>Building Total Capital Cost (($)</t>
  </si>
  <si>
    <t>Storage Type:</t>
  </si>
  <si>
    <t>Pyramid Bale Height (No. Bales)</t>
  </si>
  <si>
    <t>Dry Matter/Bale (Lbs DM/Bale)</t>
  </si>
  <si>
    <t>Weight per Bale (lbs 16% moisture hay/Bale)</t>
  </si>
  <si>
    <t>Number of Bales</t>
  </si>
  <si>
    <t>Total Dry Matter (T DM)</t>
  </si>
  <si>
    <t>Bale Length (ft)</t>
  </si>
  <si>
    <t>Bales/section</t>
  </si>
  <si>
    <t>Labor Rate ($/person/hr)</t>
  </si>
  <si>
    <t>Annual Cover Labor Cost ($)</t>
  </si>
  <si>
    <t>Annual Uncover Labor Cost ($)</t>
  </si>
  <si>
    <t>Tarp Width (ft)</t>
  </si>
  <si>
    <t>Tarp Area (sq ft)</t>
  </si>
  <si>
    <t>Tarp Unit Cost ($/sq ft)</t>
  </si>
  <si>
    <t>Tarp Cost ($)</t>
  </si>
  <si>
    <t>Unit Pallet/Support Place  Labor Time (Person Hr/ sq ft Pad area)</t>
  </si>
  <si>
    <t>Annual Pallet/Support Place Labor Cost ($)</t>
  </si>
  <si>
    <t>Unit Pallet/Support Remove Labor Time (Person Hr/ sq ft Pad area)</t>
  </si>
  <si>
    <t>Annual Pallet/Support Remove Labor Cost ($)</t>
  </si>
  <si>
    <t>Item</t>
  </si>
  <si>
    <t>Life (yrs)</t>
  </si>
  <si>
    <t>Depreciation</t>
  </si>
  <si>
    <t>Interest</t>
  </si>
  <si>
    <t>Repairs</t>
  </si>
  <si>
    <t>Taxes</t>
  </si>
  <si>
    <t>Insurance</t>
  </si>
  <si>
    <t>DIRTI</t>
  </si>
  <si>
    <t>($/yr)</t>
  </si>
  <si>
    <t>(%)</t>
  </si>
  <si>
    <t>Building</t>
  </si>
  <si>
    <t>Macadam Pad</t>
  </si>
  <si>
    <t>Total</t>
  </si>
  <si>
    <t>Cost</t>
  </si>
  <si>
    <t>Annual Capital</t>
  </si>
  <si>
    <t>Macadam Pad Width (ft)</t>
  </si>
  <si>
    <t>Macadam Pad Length (ft)</t>
  </si>
  <si>
    <t>Macadam Pad Area (sq ft)</t>
  </si>
  <si>
    <t>Macadam Pad Unit Cost ($/sq ft)</t>
  </si>
  <si>
    <t>Macadam Pad Capital Cost ($)</t>
  </si>
  <si>
    <t>Tarp</t>
  </si>
  <si>
    <t>Pallet/Support</t>
  </si>
  <si>
    <t>Interest Rate (%)</t>
  </si>
  <si>
    <t>Storage Pad Inputs</t>
  </si>
  <si>
    <t>Unit Pallet/Support Capital Cost ($/sq ft)</t>
  </si>
  <si>
    <t>Pallet Support Capital Cost ($)</t>
  </si>
  <si>
    <t>($)</t>
  </si>
  <si>
    <t>Capital</t>
  </si>
  <si>
    <t>Annual Costs ($/yr)</t>
  </si>
  <si>
    <t>Labor</t>
  </si>
  <si>
    <t>Structure</t>
  </si>
  <si>
    <t>Cover</t>
  </si>
  <si>
    <t>Dry Matter Loss</t>
  </si>
  <si>
    <t>Hay Value ($/T)</t>
  </si>
  <si>
    <t>Storage Period (months)</t>
  </si>
  <si>
    <t>Total Annual Cost</t>
  </si>
  <si>
    <t>SUMMARY TABLE 1</t>
  </si>
  <si>
    <t>SUMMARY TABLE 2</t>
  </si>
  <si>
    <t>-------------------------------</t>
  </si>
  <si>
    <t>-----------------------------------------------</t>
  </si>
  <si>
    <t>---------------------------------</t>
  </si>
  <si>
    <t>----------------------------------------</t>
  </si>
  <si>
    <t>SUMMARY TABLE 3</t>
  </si>
  <si>
    <t>SUMMARY TABLE 4</t>
  </si>
  <si>
    <t>SUMMARY TABLE  5</t>
  </si>
  <si>
    <t>SUMMARY TABLE  6</t>
  </si>
  <si>
    <t>SUMMARY TABLE  7</t>
  </si>
  <si>
    <t>SUMMARY TABLE  8</t>
  </si>
  <si>
    <t>GRAPH SECTION</t>
  </si>
  <si>
    <t>Storage Period (Months)</t>
  </si>
  <si>
    <t>X-Axis</t>
  </si>
  <si>
    <t>Assume 45 min for 30x50 tarp</t>
  </si>
  <si>
    <t>Assume 60 min for 30x50 tarp</t>
  </si>
  <si>
    <t>Tractor for</t>
  </si>
  <si>
    <t>Pallets</t>
  </si>
  <si>
    <t>Pallet Tractor Annual Cost ($/yr)</t>
  </si>
  <si>
    <t>Pallet Tractor Hourly Rate ($/hr)</t>
  </si>
  <si>
    <t>at 50' length</t>
  </si>
  <si>
    <t>Cover Labor Time (Person Hr)</t>
  </si>
  <si>
    <t>Uncover Labor Time (Person Hr)</t>
  </si>
  <si>
    <t>Assume 13.3 sq ft pallet and 3 minute per pallet</t>
  </si>
  <si>
    <t>Assume 13.3 sq ft pallet and 4 minute per pallet to allow for hay removal</t>
  </si>
  <si>
    <t>Total Annual Cost ($/Yr)</t>
  </si>
  <si>
    <t>Suggested Values</t>
  </si>
  <si>
    <t>Number of Tarps=</t>
  </si>
  <si>
    <t>User changeable values have yellow cell backgrounds</t>
  </si>
  <si>
    <t xml:space="preserve">  Stoage Time (months)</t>
  </si>
  <si>
    <t>Are you in a DRY(1), HUMID(2) or WET(3) climate? Enter 1, 2, or 3</t>
  </si>
  <si>
    <t xml:space="preserve"> High density plastic twine wraped bales. </t>
  </si>
  <si>
    <t>Dry Climate &lt; 20 inches of rain/year</t>
  </si>
  <si>
    <t>Humid Climate  20- 40 inches of rain/year</t>
  </si>
  <si>
    <t>Wet Climate &gt; 40 inches of rain/year</t>
  </si>
  <si>
    <t>Must match cell K23</t>
  </si>
  <si>
    <t xml:space="preserve">          Outside Pad &amp; Tarp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</si>
</sst>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22.75"/>
      <name val="Arial"/>
      <family val="0"/>
    </font>
    <font>
      <sz val="46"/>
      <name val="Arial"/>
      <family val="0"/>
    </font>
    <font>
      <b/>
      <sz val="27.25"/>
      <name val="Arial"/>
      <family val="0"/>
    </font>
    <font>
      <b/>
      <sz val="29.5"/>
      <name val="Arial"/>
      <family val="0"/>
    </font>
    <font>
      <sz val="32"/>
      <name val="Arial"/>
      <family val="0"/>
    </font>
    <font>
      <sz val="24.5"/>
      <name val="Arial"/>
      <family val="0"/>
    </font>
    <font>
      <b/>
      <sz val="26.25"/>
      <name val="Arial"/>
      <family val="0"/>
    </font>
    <font>
      <sz val="105"/>
      <name val="Arial"/>
      <family val="0"/>
    </font>
    <font>
      <sz val="21.75"/>
      <name val="Arial"/>
      <family val="0"/>
    </font>
    <font>
      <sz val="16"/>
      <name val="Arial"/>
      <family val="2"/>
    </font>
    <font>
      <sz val="20"/>
      <name val="Arial"/>
      <family val="2"/>
    </font>
    <font>
      <b/>
      <sz val="19"/>
      <name val="Arial"/>
      <family val="2"/>
    </font>
    <font>
      <b/>
      <sz val="21.5"/>
      <name val="Arial"/>
      <family val="2"/>
    </font>
    <font>
      <b/>
      <sz val="20.25"/>
      <name val="Arial"/>
      <family val="2"/>
    </font>
    <font>
      <u val="single"/>
      <sz val="10"/>
      <color indexed="36"/>
      <name val="Arial"/>
      <family val="0"/>
    </font>
    <font>
      <b/>
      <sz val="3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32"/>
      <color indexed="9"/>
      <name val="Arial"/>
      <family val="2"/>
    </font>
    <font>
      <sz val="8"/>
      <name val="Arial"/>
      <family val="0"/>
    </font>
    <font>
      <b/>
      <sz val="28"/>
      <name val="Arial"/>
      <family val="2"/>
    </font>
    <font>
      <b/>
      <sz val="30"/>
      <name val="Arial"/>
      <family val="2"/>
    </font>
    <font>
      <b/>
      <sz val="30"/>
      <color indexed="9"/>
      <name val="Arial"/>
      <family val="2"/>
    </font>
    <font>
      <b/>
      <sz val="31.5"/>
      <name val="Arial"/>
      <family val="2"/>
    </font>
    <font>
      <b/>
      <sz val="28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18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9" fillId="8" borderId="1" xfId="0" applyFont="1" applyFill="1" applyBorder="1" applyAlignment="1">
      <alignment/>
    </xf>
    <xf numFmtId="0" fontId="19" fillId="7" borderId="1" xfId="0" applyFont="1" applyFill="1" applyBorder="1" applyAlignment="1">
      <alignment/>
    </xf>
    <xf numFmtId="0" fontId="19" fillId="0" borderId="0" xfId="0" applyFont="1" applyAlignment="1">
      <alignment/>
    </xf>
    <xf numFmtId="0" fontId="0" fillId="9" borderId="0" xfId="0" applyFill="1" applyAlignment="1">
      <alignment/>
    </xf>
    <xf numFmtId="0" fontId="0" fillId="9" borderId="1" xfId="0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10" borderId="0" xfId="0" applyFill="1" applyAlignment="1">
      <alignment/>
    </xf>
    <xf numFmtId="0" fontId="18" fillId="10" borderId="0" xfId="0" applyFont="1" applyFill="1" applyAlignment="1">
      <alignment/>
    </xf>
    <xf numFmtId="0" fontId="18" fillId="10" borderId="0" xfId="0" applyFont="1" applyFill="1" applyBorder="1" applyAlignment="1">
      <alignment horizontal="left"/>
    </xf>
    <xf numFmtId="164" fontId="0" fillId="6" borderId="0" xfId="0" applyNumberFormat="1" applyFill="1" applyAlignment="1">
      <alignment/>
    </xf>
    <xf numFmtId="0" fontId="0" fillId="9" borderId="2" xfId="0" applyFill="1" applyBorder="1" applyAlignment="1">
      <alignment horizontal="right"/>
    </xf>
    <xf numFmtId="0" fontId="0" fillId="9" borderId="0" xfId="0" applyFill="1" applyBorder="1" applyAlignment="1">
      <alignment horizontal="left"/>
    </xf>
    <xf numFmtId="0" fontId="20" fillId="9" borderId="0" xfId="0" applyFont="1" applyFill="1" applyAlignment="1">
      <alignment/>
    </xf>
    <xf numFmtId="0" fontId="0" fillId="2" borderId="0" xfId="0" applyFill="1" applyAlignment="1">
      <alignment/>
    </xf>
    <xf numFmtId="1" fontId="19" fillId="11" borderId="0" xfId="0" applyNumberFormat="1" applyFont="1" applyFill="1" applyAlignment="1">
      <alignment/>
    </xf>
    <xf numFmtId="0" fontId="0" fillId="12" borderId="1" xfId="0" applyFill="1" applyBorder="1" applyAlignment="1" applyProtection="1">
      <alignment/>
      <protection locked="0"/>
    </xf>
    <xf numFmtId="0" fontId="0" fillId="12" borderId="3" xfId="0" applyFill="1" applyBorder="1" applyAlignment="1" applyProtection="1">
      <alignment/>
      <protection locked="0"/>
    </xf>
    <xf numFmtId="164" fontId="0" fillId="1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latin typeface="Arial"/>
                <a:ea typeface="Arial"/>
                <a:cs typeface="Arial"/>
              </a:rPr>
              <a:t>Annual Cost   vs   Cost / Ton of Hay
</a:t>
            </a:r>
            <a:r>
              <a:rPr lang="en-US" cap="none" sz="2025" b="1" i="0" u="none" baseline="0">
                <a:latin typeface="Arial"/>
                <a:ea typeface="Arial"/>
                <a:cs typeface="Arial"/>
              </a:rPr>
              <a:t>6 &amp; 12 Month Storage</a:t>
            </a:r>
          </a:p>
        </c:rich>
      </c:tx>
      <c:layout>
        <c:manualLayout>
          <c:xMode val="factor"/>
          <c:yMode val="factor"/>
          <c:x val="-0.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24025"/>
          <c:w val="0.4825"/>
          <c:h val="0.63525"/>
        </c:manualLayout>
      </c:layout>
      <c:lineChart>
        <c:grouping val="standard"/>
        <c:varyColors val="0"/>
        <c:ser>
          <c:idx val="0"/>
          <c:order val="0"/>
          <c:tx>
            <c:v>Ground (6 mo)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(Sheet1!$C$158,Sheet1!$E$158,Sheet1!$G$158,Sheet1!$I$158)</c:f>
              <c:numCache>
                <c:ptCount val="4"/>
                <c:pt idx="0">
                  <c:v>723.9456</c:v>
                </c:pt>
                <c:pt idx="1">
                  <c:v>1085.9184</c:v>
                </c:pt>
                <c:pt idx="2">
                  <c:v>1447.8912</c:v>
                </c:pt>
                <c:pt idx="3">
                  <c:v>1809.864</c:v>
                </c:pt>
              </c:numCache>
            </c:numRef>
          </c:val>
          <c:smooth val="0"/>
        </c:ser>
        <c:ser>
          <c:idx val="1"/>
          <c:order val="1"/>
          <c:tx>
            <c:v>Rock Pad (6 mo)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(Sheet1!$C$159,Sheet1!$E$159,Sheet1!$G$159,Sheet1!$I$159)</c:f>
              <c:numCache>
                <c:ptCount val="4"/>
                <c:pt idx="0">
                  <c:v>845.8883999999999</c:v>
                </c:pt>
                <c:pt idx="1">
                  <c:v>1150.7076</c:v>
                </c:pt>
                <c:pt idx="2">
                  <c:v>1455.5267999999999</c:v>
                </c:pt>
                <c:pt idx="3">
                  <c:v>1760.346</c:v>
                </c:pt>
              </c:numCache>
            </c:numRef>
          </c:val>
          <c:smooth val="0"/>
        </c:ser>
        <c:ser>
          <c:idx val="2"/>
          <c:order val="2"/>
          <c:tx>
            <c:v>Pad w Pallets       (6 mo)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(Sheet1!$C$160,Sheet1!$E$160,Sheet1!$G$160,Sheet1!$I$160)</c:f>
              <c:numCache>
                <c:ptCount val="4"/>
                <c:pt idx="0">
                  <c:v>2416.851</c:v>
                </c:pt>
                <c:pt idx="1">
                  <c:v>2702.619</c:v>
                </c:pt>
                <c:pt idx="2">
                  <c:v>2988.3869999999997</c:v>
                </c:pt>
                <c:pt idx="3">
                  <c:v>3274.1549999999997</c:v>
                </c:pt>
              </c:numCache>
            </c:numRef>
          </c:val>
          <c:smooth val="0"/>
        </c:ser>
        <c:ser>
          <c:idx val="3"/>
          <c:order val="3"/>
          <c:tx>
            <c:v>Pad w Pallets &amp; Tarp (6 mo)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(Sheet1!$C$162,Sheet1!$E$162,Sheet1!$G$162,Sheet1!$I$162)</c:f>
              <c:numCache>
                <c:ptCount val="4"/>
                <c:pt idx="0">
                  <c:v>2337.6894</c:v>
                </c:pt>
                <c:pt idx="1">
                  <c:v>2451.9966</c:v>
                </c:pt>
                <c:pt idx="2">
                  <c:v>2566.3038</c:v>
                </c:pt>
                <c:pt idx="3">
                  <c:v>2680.611</c:v>
                </c:pt>
              </c:numCache>
            </c:numRef>
          </c:val>
          <c:smooth val="0"/>
        </c:ser>
        <c:ser>
          <c:idx val="4"/>
          <c:order val="4"/>
          <c:tx>
            <c:v>Building (6mo)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(Sheet1!$C$163,Sheet1!$E$163,Sheet1!$G$163,Sheet1!$I$163)</c:f>
              <c:numCache>
                <c:ptCount val="4"/>
                <c:pt idx="0">
                  <c:v>2874.0096</c:v>
                </c:pt>
                <c:pt idx="1">
                  <c:v>2950.2144</c:v>
                </c:pt>
                <c:pt idx="2">
                  <c:v>3026.4192</c:v>
                </c:pt>
                <c:pt idx="3">
                  <c:v>3102.624</c:v>
                </c:pt>
              </c:numCache>
            </c:numRef>
          </c:val>
          <c:smooth val="0"/>
        </c:ser>
        <c:ser>
          <c:idx val="5"/>
          <c:order val="5"/>
          <c:tx>
            <c:v>Ground (12 mo)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(Sheet1!$D$158,Sheet1!$F$158,Sheet1!$H$158,Sheet1!$J$158)</c:f>
              <c:numCache>
                <c:ptCount val="4"/>
                <c:pt idx="0">
                  <c:v>990.6623999999999</c:v>
                </c:pt>
                <c:pt idx="1">
                  <c:v>1485.9935999999998</c:v>
                </c:pt>
                <c:pt idx="2">
                  <c:v>1981.3247999999999</c:v>
                </c:pt>
                <c:pt idx="3">
                  <c:v>2476.656</c:v>
                </c:pt>
              </c:numCache>
            </c:numRef>
          </c:val>
          <c:smooth val="0"/>
        </c:ser>
        <c:ser>
          <c:idx val="6"/>
          <c:order val="6"/>
          <c:tx>
            <c:v>Rock Pad          (12 mo)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(Sheet1!$D$159,Sheet1!$F$159,Sheet1!$H$159,Sheet1!$J$159)</c:f>
              <c:numCache>
                <c:ptCount val="4"/>
                <c:pt idx="0">
                  <c:v>998.2979999999999</c:v>
                </c:pt>
                <c:pt idx="1">
                  <c:v>1379.322</c:v>
                </c:pt>
                <c:pt idx="2">
                  <c:v>1760.3459999999998</c:v>
                </c:pt>
                <c:pt idx="3">
                  <c:v>2141.37</c:v>
                </c:pt>
              </c:numCache>
            </c:numRef>
          </c:val>
          <c:smooth val="0"/>
        </c:ser>
        <c:ser>
          <c:idx val="7"/>
          <c:order val="7"/>
          <c:tx>
            <c:v>Pad w Pallets    (12 mo)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(Sheet1!$D$160,Sheet1!$F$160,Sheet1!$H$160,Sheet1!$J$160)</c:f>
              <c:numCache>
                <c:ptCount val="4"/>
                <c:pt idx="0">
                  <c:v>2493.0558</c:v>
                </c:pt>
                <c:pt idx="1">
                  <c:v>2816.9262</c:v>
                </c:pt>
                <c:pt idx="2">
                  <c:v>3140.7965999999997</c:v>
                </c:pt>
                <c:pt idx="3">
                  <c:v>3464.6670000000004</c:v>
                </c:pt>
              </c:numCache>
            </c:numRef>
          </c:val>
          <c:smooth val="0"/>
        </c:ser>
        <c:ser>
          <c:idx val="8"/>
          <c:order val="8"/>
          <c:tx>
            <c:v>Pad w Pallets &amp; Tarp (12 mo)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(Sheet1!$D$162,Sheet1!$F$162,Sheet1!$H$162,Sheet1!$J$162)</c:f>
              <c:numCache>
                <c:ptCount val="4"/>
                <c:pt idx="0">
                  <c:v>2413.8941999999997</c:v>
                </c:pt>
                <c:pt idx="1">
                  <c:v>2566.3038</c:v>
                </c:pt>
                <c:pt idx="2">
                  <c:v>2718.7134</c:v>
                </c:pt>
                <c:pt idx="3">
                  <c:v>2871.123</c:v>
                </c:pt>
              </c:numCache>
            </c:numRef>
          </c:val>
          <c:smooth val="0"/>
        </c:ser>
        <c:ser>
          <c:idx val="9"/>
          <c:order val="9"/>
          <c:tx>
            <c:v>Building (12 mo)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(Sheet1!$D$163,Sheet1!$F$163,Sheet1!$H$163,Sheet1!$J$163)</c:f>
              <c:numCache>
                <c:ptCount val="4"/>
                <c:pt idx="0">
                  <c:v>2874.0096</c:v>
                </c:pt>
                <c:pt idx="1">
                  <c:v>2950.2144</c:v>
                </c:pt>
                <c:pt idx="2">
                  <c:v>3026.4192</c:v>
                </c:pt>
                <c:pt idx="3">
                  <c:v>3102.624</c:v>
                </c:pt>
              </c:numCache>
            </c:numRef>
          </c:val>
          <c:smooth val="0"/>
        </c:ser>
        <c:ser>
          <c:idx val="10"/>
          <c:order val="10"/>
          <c:tx>
            <c:v>Pad &amp; Tarp        (6 mo)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(Sheet1!$C$161,Sheet1!$E$161,Sheet1!$G$161,Sheet1!$I$161)</c:f>
              <c:numCache>
                <c:ptCount val="4"/>
                <c:pt idx="0">
                  <c:v>804.8291999999999</c:v>
                </c:pt>
                <c:pt idx="1">
                  <c:v>957.2388</c:v>
                </c:pt>
                <c:pt idx="2">
                  <c:v>1109.6484</c:v>
                </c:pt>
                <c:pt idx="3">
                  <c:v>1262.058</c:v>
                </c:pt>
              </c:numCache>
            </c:numRef>
          </c:val>
          <c:smooth val="0"/>
        </c:ser>
        <c:ser>
          <c:idx val="11"/>
          <c:order val="11"/>
          <c:tx>
            <c:v>Pad &amp; Tarp        (12 mo)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ln w="38100">
                <a:solidFill>
                  <a:srgbClr val="800000"/>
                </a:solidFill>
                <a:prstDash val="sysDot"/>
              </a:ln>
            </c:spPr>
            <c:marker>
              <c:size val="9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val>
            <c:numRef>
              <c:f>(Sheet1!$D$161,Sheet1!$F$161,Sheet1!$H$161,Sheet1!$J$161)</c:f>
              <c:numCache>
                <c:ptCount val="4"/>
                <c:pt idx="0">
                  <c:v>881.0339999999999</c:v>
                </c:pt>
                <c:pt idx="1">
                  <c:v>1071.5459999999998</c:v>
                </c:pt>
                <c:pt idx="2">
                  <c:v>1262.058</c:v>
                </c:pt>
                <c:pt idx="3">
                  <c:v>1452.57</c:v>
                </c:pt>
              </c:numCache>
            </c:numRef>
          </c:val>
          <c:smooth val="0"/>
        </c:ser>
        <c:marker val="1"/>
        <c:axId val="17637583"/>
        <c:axId val="41727860"/>
      </c:lineChart>
      <c:catAx>
        <c:axId val="1763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Arial"/>
                    <a:ea typeface="Arial"/>
                    <a:cs typeface="Arial"/>
                  </a:rPr>
                  <a:t>Cost/Ton ($/T Hay)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3000" b="1" i="0" u="none" baseline="0">
                <a:latin typeface="Arial"/>
                <a:ea typeface="Arial"/>
                <a:cs typeface="Arial"/>
              </a:defRPr>
            </a:pPr>
          </a:p>
        </c:txPr>
        <c:crossAx val="41727860"/>
        <c:crosses val="autoZero"/>
        <c:auto val="1"/>
        <c:lblOffset val="100"/>
        <c:tickLblSkip val="1"/>
        <c:noMultiLvlLbl val="0"/>
      </c:catAx>
      <c:valAx>
        <c:axId val="41727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Arial"/>
                    <a:ea typeface="Arial"/>
                    <a:cs typeface="Arial"/>
                  </a:rPr>
                  <a:t>Annual Cost ($/yr)  </a:t>
                </a:r>
                <a:r>
                  <a:rPr lang="en-US" cap="none" sz="3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0" b="1" i="0" u="none" baseline="0">
                <a:latin typeface="Arial"/>
                <a:ea typeface="Arial"/>
                <a:cs typeface="Arial"/>
              </a:defRPr>
            </a:pPr>
          </a:p>
        </c:txPr>
        <c:crossAx val="176375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"/>
          <c:y val="0"/>
          <c:w val="0.18225"/>
          <c:h val="0.9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latin typeface="Arial"/>
                <a:ea typeface="Arial"/>
                <a:cs typeface="Arial"/>
              </a:rPr>
              <a:t>Annual Cost   vs   Cost / Ton of Hay
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6 Month Storage</a:t>
            </a:r>
          </a:p>
        </c:rich>
      </c:tx>
      <c:layout>
        <c:manualLayout>
          <c:xMode val="factor"/>
          <c:yMode val="factor"/>
          <c:x val="-0.08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15"/>
          <c:w val="0.5505"/>
          <c:h val="0.6285"/>
        </c:manualLayout>
      </c:layout>
      <c:lineChart>
        <c:grouping val="standard"/>
        <c:varyColors val="0"/>
        <c:ser>
          <c:idx val="0"/>
          <c:order val="0"/>
          <c:tx>
            <c:v>Ground 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(Sheet1!$C$158,Sheet1!$E$158,Sheet1!$G$158,Sheet1!$I$158)</c:f>
              <c:numCache>
                <c:ptCount val="4"/>
                <c:pt idx="0">
                  <c:v>723.9456</c:v>
                </c:pt>
                <c:pt idx="1">
                  <c:v>1085.9184</c:v>
                </c:pt>
                <c:pt idx="2">
                  <c:v>1447.8912</c:v>
                </c:pt>
                <c:pt idx="3">
                  <c:v>1809.864</c:v>
                </c:pt>
              </c:numCache>
            </c:numRef>
          </c:val>
          <c:smooth val="0"/>
        </c:ser>
        <c:ser>
          <c:idx val="1"/>
          <c:order val="1"/>
          <c:tx>
            <c:v>Rock Pad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(Sheet1!$C$159,Sheet1!$E$159,Sheet1!$G$159,Sheet1!$I$159)</c:f>
              <c:numCache>
                <c:ptCount val="4"/>
                <c:pt idx="0">
                  <c:v>845.8883999999999</c:v>
                </c:pt>
                <c:pt idx="1">
                  <c:v>1150.7076</c:v>
                </c:pt>
                <c:pt idx="2">
                  <c:v>1455.5267999999999</c:v>
                </c:pt>
                <c:pt idx="3">
                  <c:v>1760.346</c:v>
                </c:pt>
              </c:numCache>
            </c:numRef>
          </c:val>
          <c:smooth val="0"/>
        </c:ser>
        <c:ser>
          <c:idx val="2"/>
          <c:order val="2"/>
          <c:tx>
            <c:v>Pad w Pallets 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(Sheet1!$C$160,Sheet1!$E$160,Sheet1!$G$160,Sheet1!$I$160)</c:f>
              <c:numCache>
                <c:ptCount val="4"/>
                <c:pt idx="0">
                  <c:v>2416.851</c:v>
                </c:pt>
                <c:pt idx="1">
                  <c:v>2702.619</c:v>
                </c:pt>
                <c:pt idx="2">
                  <c:v>2988.3869999999997</c:v>
                </c:pt>
                <c:pt idx="3">
                  <c:v>3274.1549999999997</c:v>
                </c:pt>
              </c:numCache>
            </c:numRef>
          </c:val>
          <c:smooth val="0"/>
        </c:ser>
        <c:ser>
          <c:idx val="3"/>
          <c:order val="3"/>
          <c:tx>
            <c:v>Pad w Pallets              &amp; Tarp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(Sheet1!$C$162,Sheet1!$E$162,Sheet1!$G$162,Sheet1!$I$162)</c:f>
              <c:numCache>
                <c:ptCount val="4"/>
                <c:pt idx="0">
                  <c:v>2337.6894</c:v>
                </c:pt>
                <c:pt idx="1">
                  <c:v>2451.9966</c:v>
                </c:pt>
                <c:pt idx="2">
                  <c:v>2566.3038</c:v>
                </c:pt>
                <c:pt idx="3">
                  <c:v>2680.611</c:v>
                </c:pt>
              </c:numCache>
            </c:numRef>
          </c:val>
          <c:smooth val="0"/>
        </c:ser>
        <c:ser>
          <c:idx val="4"/>
          <c:order val="4"/>
          <c:tx>
            <c:v>Building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(Sheet1!$C$163,Sheet1!$E$163,Sheet1!$G$163,Sheet1!$I$163)</c:f>
              <c:numCache>
                <c:ptCount val="4"/>
                <c:pt idx="0">
                  <c:v>2874.0096</c:v>
                </c:pt>
                <c:pt idx="1">
                  <c:v>2950.2144</c:v>
                </c:pt>
                <c:pt idx="2">
                  <c:v>3026.4192</c:v>
                </c:pt>
                <c:pt idx="3">
                  <c:v>3102.624</c:v>
                </c:pt>
              </c:numCache>
            </c:numRef>
          </c:val>
          <c:smooth val="0"/>
        </c:ser>
        <c:ser>
          <c:idx val="5"/>
          <c:order val="5"/>
          <c:tx>
            <c:v>Pad &amp; Tarp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(Sheet1!$C$161,Sheet1!$E$161,Sheet1!$G$161,Sheet1!$I$161)</c:f>
              <c:numCache>
                <c:ptCount val="4"/>
                <c:pt idx="0">
                  <c:v>804.8291999999999</c:v>
                </c:pt>
                <c:pt idx="1">
                  <c:v>957.2388</c:v>
                </c:pt>
                <c:pt idx="2">
                  <c:v>1109.6484</c:v>
                </c:pt>
                <c:pt idx="3">
                  <c:v>1262.058</c:v>
                </c:pt>
              </c:numCache>
            </c:numRef>
          </c:val>
          <c:smooth val="0"/>
        </c:ser>
        <c:marker val="1"/>
        <c:axId val="2148389"/>
        <c:axId val="62303282"/>
      </c:lineChart>
      <c:catAx>
        <c:axId val="214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25" b="1" i="0" u="none" baseline="0">
                    <a:latin typeface="Arial"/>
                    <a:ea typeface="Arial"/>
                    <a:cs typeface="Arial"/>
                  </a:rPr>
                  <a:t>Cost/Ton ($/T Hay)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3200" b="1" i="0" u="none" baseline="0">
                <a:latin typeface="Arial"/>
                <a:ea typeface="Arial"/>
                <a:cs typeface="Arial"/>
              </a:defRPr>
            </a:pPr>
          </a:p>
        </c:txPr>
        <c:crossAx val="62303282"/>
        <c:crosses val="autoZero"/>
        <c:auto val="1"/>
        <c:lblOffset val="100"/>
        <c:noMultiLvlLbl val="0"/>
      </c:catAx>
      <c:valAx>
        <c:axId val="6230328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latin typeface="Arial"/>
                    <a:ea typeface="Arial"/>
                    <a:cs typeface="Arial"/>
                  </a:rPr>
                  <a:t>Annual Cost ($/yr)      </a:t>
                </a:r>
                <a:r>
                  <a:rPr lang="en-US" cap="none" sz="3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21483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7225"/>
          <c:y val="0.2485"/>
          <c:w val="0.24925"/>
          <c:h val="0.5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latin typeface="Arial"/>
                <a:ea typeface="Arial"/>
                <a:cs typeface="Arial"/>
              </a:rPr>
              <a:t>Annual Cost   vs   Cost / Ton of Hay
</a:t>
            </a:r>
            <a:r>
              <a:rPr lang="en-US" cap="none" sz="1900" b="1" i="0" u="none" baseline="0">
                <a:latin typeface="Arial"/>
                <a:ea typeface="Arial"/>
                <a:cs typeface="Arial"/>
              </a:rPr>
              <a:t>12 Month Storage</a:t>
            </a:r>
          </a:p>
        </c:rich>
      </c:tx>
      <c:layout>
        <c:manualLayout>
          <c:xMode val="factor"/>
          <c:yMode val="factor"/>
          <c:x val="-0.19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7175"/>
          <c:w val="0.48375"/>
          <c:h val="0.67875"/>
        </c:manualLayout>
      </c:layout>
      <c:lineChart>
        <c:grouping val="standard"/>
        <c:varyColors val="0"/>
        <c:ser>
          <c:idx val="5"/>
          <c:order val="0"/>
          <c:tx>
            <c:v>Ground 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(Sheet1!$D$158,Sheet1!$F$158,Sheet1!$H$158,Sheet1!$J$158)</c:f>
              <c:numCache>
                <c:ptCount val="4"/>
                <c:pt idx="0">
                  <c:v>990.6623999999999</c:v>
                </c:pt>
                <c:pt idx="1">
                  <c:v>1485.9935999999998</c:v>
                </c:pt>
                <c:pt idx="2">
                  <c:v>1981.3247999999999</c:v>
                </c:pt>
                <c:pt idx="3">
                  <c:v>2476.656</c:v>
                </c:pt>
              </c:numCache>
            </c:numRef>
          </c:val>
          <c:smooth val="0"/>
        </c:ser>
        <c:ser>
          <c:idx val="6"/>
          <c:order val="1"/>
          <c:tx>
            <c:v>Rock Pad 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(Sheet1!$D$159,Sheet1!$F$159,Sheet1!$H$159,Sheet1!$J$159)</c:f>
              <c:numCache>
                <c:ptCount val="4"/>
                <c:pt idx="0">
                  <c:v>998.2979999999999</c:v>
                </c:pt>
                <c:pt idx="1">
                  <c:v>1379.322</c:v>
                </c:pt>
                <c:pt idx="2">
                  <c:v>1760.3459999999998</c:v>
                </c:pt>
                <c:pt idx="3">
                  <c:v>2141.37</c:v>
                </c:pt>
              </c:numCache>
            </c:numRef>
          </c:val>
          <c:smooth val="0"/>
        </c:ser>
        <c:ser>
          <c:idx val="7"/>
          <c:order val="2"/>
          <c:tx>
            <c:v>Pad w Pallets 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(Sheet1!$D$160,Sheet1!$F$160,Sheet1!$H$160,Sheet1!$J$160)</c:f>
              <c:numCache>
                <c:ptCount val="4"/>
                <c:pt idx="0">
                  <c:v>2493.0558</c:v>
                </c:pt>
                <c:pt idx="1">
                  <c:v>2816.9262</c:v>
                </c:pt>
                <c:pt idx="2">
                  <c:v>3140.7965999999997</c:v>
                </c:pt>
                <c:pt idx="3">
                  <c:v>3464.6670000000004</c:v>
                </c:pt>
              </c:numCache>
            </c:numRef>
          </c:val>
          <c:smooth val="0"/>
        </c:ser>
        <c:ser>
          <c:idx val="8"/>
          <c:order val="3"/>
          <c:tx>
            <c:v>Pad w Pallets &amp; Tarp 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(Sheet1!$D$162,Sheet1!$F$162,Sheet1!$H$162,Sheet1!$J$162)</c:f>
              <c:numCache>
                <c:ptCount val="4"/>
                <c:pt idx="0">
                  <c:v>2413.8941999999997</c:v>
                </c:pt>
                <c:pt idx="1">
                  <c:v>2566.3038</c:v>
                </c:pt>
                <c:pt idx="2">
                  <c:v>2718.7134</c:v>
                </c:pt>
                <c:pt idx="3">
                  <c:v>2871.123</c:v>
                </c:pt>
              </c:numCache>
            </c:numRef>
          </c:val>
          <c:smooth val="0"/>
        </c:ser>
        <c:ser>
          <c:idx val="9"/>
          <c:order val="4"/>
          <c:tx>
            <c:v>Building 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Sheet1!$A$165:$A$168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cat>
          <c:val>
            <c:numRef>
              <c:f>(Sheet1!$D$163,Sheet1!$F$163,Sheet1!$H$163,Sheet1!$J$163)</c:f>
              <c:numCache>
                <c:ptCount val="4"/>
                <c:pt idx="0">
                  <c:v>2874.0096</c:v>
                </c:pt>
                <c:pt idx="1">
                  <c:v>2950.2144</c:v>
                </c:pt>
                <c:pt idx="2">
                  <c:v>3026.4192</c:v>
                </c:pt>
                <c:pt idx="3">
                  <c:v>3102.624</c:v>
                </c:pt>
              </c:numCache>
            </c:numRef>
          </c:val>
          <c:smooth val="0"/>
        </c:ser>
        <c:ser>
          <c:idx val="0"/>
          <c:order val="5"/>
          <c:tx>
            <c:v>Pad &amp; Tarp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(Sheet1!$D$161,Sheet1!$F$161,Sheet1!$H$161,Sheet1!$J$161)</c:f>
              <c:numCache>
                <c:ptCount val="4"/>
                <c:pt idx="0">
                  <c:v>881.0339999999999</c:v>
                </c:pt>
                <c:pt idx="1">
                  <c:v>1071.5459999999998</c:v>
                </c:pt>
                <c:pt idx="2">
                  <c:v>1262.058</c:v>
                </c:pt>
                <c:pt idx="3">
                  <c:v>1452.57</c:v>
                </c:pt>
              </c:numCache>
            </c:numRef>
          </c:val>
          <c:smooth val="0"/>
        </c:ser>
        <c:marker val="1"/>
        <c:axId val="61964715"/>
        <c:axId val="52146272"/>
      </c:lineChart>
      <c:catAx>
        <c:axId val="6196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150" b="1" i="0" u="none" baseline="0">
                    <a:latin typeface="Arial"/>
                    <a:ea typeface="Arial"/>
                    <a:cs typeface="Arial"/>
                  </a:rPr>
                  <a:t>Cost/Ton ($/T Hay)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3150" b="1" i="0" u="none" baseline="0">
                <a:latin typeface="Arial"/>
                <a:ea typeface="Arial"/>
                <a:cs typeface="Arial"/>
              </a:defRPr>
            </a:pPr>
          </a:p>
        </c:txPr>
        <c:crossAx val="52146272"/>
        <c:crosses val="autoZero"/>
        <c:auto val="1"/>
        <c:lblOffset val="100"/>
        <c:noMultiLvlLbl val="0"/>
      </c:catAx>
      <c:valAx>
        <c:axId val="52146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Annual Cost ($/yr)   </a:t>
                </a:r>
                <a:r>
                  <a:rPr lang="en-US" cap="none" sz="2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>
                <a:latin typeface="Arial"/>
                <a:ea typeface="Arial"/>
                <a:cs typeface="Arial"/>
              </a:defRPr>
            </a:pPr>
          </a:p>
        </c:txPr>
        <c:crossAx val="61964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152"/>
          <c:w val="0.24275"/>
          <c:h val="0.6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163</xdr:row>
      <xdr:rowOff>104775</xdr:rowOff>
    </xdr:from>
    <xdr:to>
      <xdr:col>17</xdr:col>
      <xdr:colOff>600075</xdr:colOff>
      <xdr:row>200</xdr:row>
      <xdr:rowOff>104775</xdr:rowOff>
    </xdr:to>
    <xdr:graphicFrame>
      <xdr:nvGraphicFramePr>
        <xdr:cNvPr id="1" name="Chart 1"/>
        <xdr:cNvGraphicFramePr/>
      </xdr:nvGraphicFramePr>
      <xdr:xfrm>
        <a:off x="1704975" y="26679525"/>
        <a:ext cx="116490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201</xdr:row>
      <xdr:rowOff>9525</xdr:rowOff>
    </xdr:from>
    <xdr:to>
      <xdr:col>18</xdr:col>
      <xdr:colOff>0</xdr:colOff>
      <xdr:row>240</xdr:row>
      <xdr:rowOff>152400</xdr:rowOff>
    </xdr:to>
    <xdr:graphicFrame>
      <xdr:nvGraphicFramePr>
        <xdr:cNvPr id="2" name="Chart 2"/>
        <xdr:cNvGraphicFramePr/>
      </xdr:nvGraphicFramePr>
      <xdr:xfrm>
        <a:off x="1971675" y="32737425"/>
        <a:ext cx="1139190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250</xdr:row>
      <xdr:rowOff>114300</xdr:rowOff>
    </xdr:from>
    <xdr:to>
      <xdr:col>18</xdr:col>
      <xdr:colOff>0</xdr:colOff>
      <xdr:row>286</xdr:row>
      <xdr:rowOff>19050</xdr:rowOff>
    </xdr:to>
    <xdr:graphicFrame>
      <xdr:nvGraphicFramePr>
        <xdr:cNvPr id="3" name="Chart 3"/>
        <xdr:cNvGraphicFramePr/>
      </xdr:nvGraphicFramePr>
      <xdr:xfrm>
        <a:off x="2724150" y="40776525"/>
        <a:ext cx="10639425" cy="573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="75" zoomScaleNormal="75" workbookViewId="0" topLeftCell="A131">
      <selection activeCell="J181" sqref="J181"/>
    </sheetView>
  </sheetViews>
  <sheetFormatPr defaultColWidth="9.140625" defaultRowHeight="12.75"/>
  <cols>
    <col min="1" max="1" width="22.57421875" style="0" customWidth="1"/>
    <col min="4" max="4" width="12.28125" style="0" customWidth="1"/>
    <col min="5" max="5" width="10.57421875" style="0" customWidth="1"/>
    <col min="7" max="7" width="10.421875" style="0" customWidth="1"/>
    <col min="10" max="10" width="14.140625" style="0" customWidth="1"/>
    <col min="12" max="12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9" ht="12.75">
      <c r="A5" t="s">
        <v>4</v>
      </c>
      <c r="E5" s="16" t="s">
        <v>110</v>
      </c>
      <c r="F5" s="16"/>
      <c r="G5" s="16"/>
      <c r="H5" s="16"/>
      <c r="I5" s="16"/>
    </row>
    <row r="6" spans="1:10" ht="12.75">
      <c r="A6" t="s">
        <v>5</v>
      </c>
      <c r="I6" s="25"/>
      <c r="J6" s="25"/>
    </row>
    <row r="7" spans="1:14" ht="12.75">
      <c r="A7" s="1" t="s">
        <v>6</v>
      </c>
      <c r="L7" s="12"/>
      <c r="M7" s="12"/>
      <c r="N7" s="12"/>
    </row>
    <row r="8" spans="1:14" ht="12.75">
      <c r="A8" s="11">
        <v>38059</v>
      </c>
      <c r="G8" s="16" t="s">
        <v>114</v>
      </c>
      <c r="H8" s="16"/>
      <c r="I8" s="16"/>
      <c r="J8" s="16"/>
      <c r="L8" s="12"/>
      <c r="M8" s="12"/>
      <c r="N8" s="12"/>
    </row>
    <row r="9" spans="1:10" ht="12.75">
      <c r="A9" t="s">
        <v>7</v>
      </c>
      <c r="G9" s="16" t="s">
        <v>115</v>
      </c>
      <c r="H9" s="16"/>
      <c r="I9" s="16"/>
      <c r="J9" s="16"/>
    </row>
    <row r="10" spans="1:10" ht="12.75">
      <c r="A10" t="s">
        <v>112</v>
      </c>
      <c r="F10" s="35">
        <v>2</v>
      </c>
      <c r="G10" s="16" t="s">
        <v>116</v>
      </c>
      <c r="H10" s="16"/>
      <c r="I10" s="16"/>
      <c r="J10" s="16"/>
    </row>
    <row r="11" spans="1:6" ht="12.75">
      <c r="A11" t="s">
        <v>8</v>
      </c>
      <c r="F11" s="35">
        <v>40</v>
      </c>
    </row>
    <row r="12" spans="1:10" ht="15.75">
      <c r="A12" t="s">
        <v>32</v>
      </c>
      <c r="F12" s="35">
        <v>5</v>
      </c>
      <c r="I12" s="28" t="str">
        <f>+IF($F$10=1,"Dry Climate",IF($F$10=2,"Humid Climate",IF($F$10=3,"Wet Climate","Error")))</f>
        <v>Humid Climate</v>
      </c>
      <c r="J12" s="26"/>
    </row>
    <row r="13" spans="1:10" ht="15.75">
      <c r="A13" t="s">
        <v>9</v>
      </c>
      <c r="F13" s="36">
        <v>5</v>
      </c>
      <c r="I13" s="27" t="s">
        <v>108</v>
      </c>
      <c r="J13" s="26"/>
    </row>
    <row r="14" spans="4:10" ht="12.75">
      <c r="D14" s="21" t="s">
        <v>111</v>
      </c>
      <c r="E14" s="18"/>
      <c r="F14" s="21">
        <v>6</v>
      </c>
      <c r="G14" s="21">
        <v>12</v>
      </c>
      <c r="H14" s="22"/>
      <c r="I14" s="21">
        <v>6</v>
      </c>
      <c r="J14" s="21">
        <v>12</v>
      </c>
    </row>
    <row r="15" spans="1:10" ht="12.75">
      <c r="A15" t="s">
        <v>26</v>
      </c>
      <c r="F15" s="20" t="s">
        <v>10</v>
      </c>
      <c r="G15" s="19"/>
      <c r="I15" s="20" t="s">
        <v>10</v>
      </c>
      <c r="J15" s="19"/>
    </row>
    <row r="16" spans="1:14" ht="15">
      <c r="A16" t="s">
        <v>11</v>
      </c>
      <c r="F16" s="35">
        <v>9.5</v>
      </c>
      <c r="G16" s="35">
        <v>13</v>
      </c>
      <c r="I16" s="24" t="str">
        <f>+IF($F$10=1,"2-3",IF($F$10=2,"8-11*",IF($F$10=3,"13-17*","Error")))</f>
        <v>8-11*</v>
      </c>
      <c r="J16" s="24" t="str">
        <f>+IF($F$10=1,"3-4*",IF($F$10=2,"11-15*",IF($F$10=3,"16-20*","Error")))</f>
        <v>11-15*</v>
      </c>
      <c r="K16" s="32" t="s">
        <v>113</v>
      </c>
      <c r="L16" s="23"/>
      <c r="M16" s="23"/>
      <c r="N16" s="23"/>
    </row>
    <row r="17" spans="1:14" ht="12.75">
      <c r="A17" t="s">
        <v>12</v>
      </c>
      <c r="F17" s="35">
        <v>8</v>
      </c>
      <c r="G17" s="35">
        <v>10</v>
      </c>
      <c r="I17" s="24" t="str">
        <f>+IF($F$10=1,"2-3",IF($F$10=2,"7-9*",IF($F$10=3,"9-11*","Error")))</f>
        <v>7-9*</v>
      </c>
      <c r="J17" s="24" t="str">
        <f>+IF($F$10=1,"2-3",IF($F$10=2,"9-11*",IF($F$10=3,"12-14*","Error")))</f>
        <v>9-11*</v>
      </c>
      <c r="K17" s="23" t="str">
        <f>+IF($F$10=1,"*Add 1% for sissal twine, deduct 1% for net wrap",IF($F$10=2,"*Add 2% for sissal twine, deduct 3% for net wrap",IF($F$10=3,"*Add 3% for sissal twine, deduct 3% for net wrap","Error")))</f>
        <v>*Add 2% for sissal twine, deduct 3% for net wrap</v>
      </c>
      <c r="L17" s="23"/>
      <c r="M17" s="23"/>
      <c r="N17" s="23"/>
    </row>
    <row r="18" spans="1:14" ht="12.75">
      <c r="A18" t="s">
        <v>13</v>
      </c>
      <c r="F18" s="35">
        <v>7.5</v>
      </c>
      <c r="G18" s="35">
        <v>8.5</v>
      </c>
      <c r="I18" s="24" t="str">
        <f>+IF($F$10=1,"2-3",IF($F$10=2,"7-8*",IF($F$10=3,"9-10*","Error")))</f>
        <v>7-8*</v>
      </c>
      <c r="J18" s="30" t="str">
        <f>+IF($F$10=1,"2-3",IF($F$10=2,"8-9*",IF($F$10=3,"11-13*","Error")))</f>
        <v>8-9*</v>
      </c>
      <c r="K18" s="31" t="str">
        <f>+IF($F$10=1," ",IF($F$10=2,"*For low density bales, add 3% for 6 months",IF($F$10=3,"*For low density bales, add 6% for 6 months","Error")))</f>
        <v>*For low density bales, add 3% for 6 months</v>
      </c>
      <c r="L18" s="23"/>
      <c r="M18" s="23"/>
      <c r="N18" s="23"/>
    </row>
    <row r="19" spans="1:14" ht="12.75">
      <c r="A19" t="s">
        <v>118</v>
      </c>
      <c r="F19" s="35">
        <v>4</v>
      </c>
      <c r="G19" s="35">
        <v>5</v>
      </c>
      <c r="I19" s="24" t="str">
        <f>+IF($F$10=1,"2-3",IF($F$10=2,"3-5",IF($F$10=3,"5-7","Error")))</f>
        <v>3-5</v>
      </c>
      <c r="J19" s="30" t="str">
        <f>+IF($F$10=1,"2-3",IF($F$10=2,"4-6",IF($F$10=3,"7-9","Error")))</f>
        <v>4-6</v>
      </c>
      <c r="K19" s="31" t="str">
        <f>+IF($F$10=1," ",IF($F$10=2,"and 6% for 12 months ",IF($F$10=3,"12% for 12 months ","Error")))</f>
        <v>and 6% for 12 months </v>
      </c>
      <c r="L19" s="23"/>
      <c r="M19" s="23"/>
      <c r="N19" s="23"/>
    </row>
    <row r="20" spans="1:14" ht="12.75">
      <c r="A20" t="s">
        <v>14</v>
      </c>
      <c r="F20" s="35">
        <v>3</v>
      </c>
      <c r="G20" s="35">
        <v>4</v>
      </c>
      <c r="I20" s="24" t="str">
        <f>+IF($F$10=1,"2-3",IF($F$10=2,"2-4",IF($F$10=3,"3-5","Error")))</f>
        <v>2-4</v>
      </c>
      <c r="J20" s="30" t="str">
        <f>+IF($F$10=1,"2-3",IF($F$10=2,"3-5",IF($F$10=3,"4-6","Error")))</f>
        <v>3-5</v>
      </c>
      <c r="M20" s="23"/>
      <c r="N20" s="23"/>
    </row>
    <row r="21" spans="1:11" ht="12.75">
      <c r="A21" t="s">
        <v>15</v>
      </c>
      <c r="F21" s="35">
        <v>2</v>
      </c>
      <c r="G21" s="35">
        <v>2</v>
      </c>
      <c r="I21" s="24" t="str">
        <f>+IF($F$10=1,"2-3",IF($F$10=2,"2-3",IF($F$10=3,"2-3","Error")))</f>
        <v>2-3</v>
      </c>
      <c r="J21" s="24" t="str">
        <f>+IF($F$10=1,"2-3",IF($F$10=2,"2-3",IF($F$10=3,"2-3","Error")))</f>
        <v>2-3</v>
      </c>
      <c r="K21" s="33"/>
    </row>
    <row r="22" spans="1:11" ht="12.75">
      <c r="A22" t="s">
        <v>29</v>
      </c>
      <c r="F22" s="35">
        <v>1200</v>
      </c>
      <c r="H22" t="s">
        <v>28</v>
      </c>
      <c r="K22">
        <f>+F22*0.84</f>
        <v>1008</v>
      </c>
    </row>
    <row r="23" spans="1:11" ht="12.75">
      <c r="A23" t="s">
        <v>30</v>
      </c>
      <c r="F23" s="35">
        <v>378</v>
      </c>
      <c r="H23" t="s">
        <v>31</v>
      </c>
      <c r="K23" s="29">
        <f>+F23*K22/2000</f>
        <v>190.512</v>
      </c>
    </row>
    <row r="24" spans="2:3" ht="15.75">
      <c r="B24" s="15" t="s">
        <v>16</v>
      </c>
      <c r="C24" s="5"/>
    </row>
    <row r="25" spans="1:6" ht="12.75">
      <c r="A25" t="s">
        <v>17</v>
      </c>
      <c r="F25" s="35">
        <v>90</v>
      </c>
    </row>
    <row r="26" spans="1:6" ht="12.75">
      <c r="A26" t="s">
        <v>18</v>
      </c>
      <c r="F26" s="35">
        <v>40</v>
      </c>
    </row>
    <row r="27" spans="1:6" ht="12.75">
      <c r="A27" t="s">
        <v>19</v>
      </c>
      <c r="F27" s="35">
        <v>16</v>
      </c>
    </row>
    <row r="28" spans="1:6" ht="12.75">
      <c r="A28" t="s">
        <v>20</v>
      </c>
      <c r="F28">
        <f>+F25*F26</f>
        <v>3600</v>
      </c>
    </row>
    <row r="29" spans="1:6" ht="12.75">
      <c r="A29" t="s">
        <v>22</v>
      </c>
      <c r="F29" s="35">
        <v>16</v>
      </c>
    </row>
    <row r="30" spans="1:8" ht="12.75">
      <c r="A30" t="s">
        <v>21</v>
      </c>
      <c r="F30">
        <f>+F28/F29*0.84</f>
        <v>189</v>
      </c>
      <c r="G30" s="17" t="s">
        <v>117</v>
      </c>
      <c r="H30" s="17"/>
    </row>
    <row r="31" spans="1:7" ht="12.75">
      <c r="A31" t="s">
        <v>23</v>
      </c>
      <c r="F31" s="35">
        <v>6</v>
      </c>
      <c r="G31" s="12"/>
    </row>
    <row r="32" spans="1:7" ht="12.75">
      <c r="A32" t="s">
        <v>24</v>
      </c>
      <c r="F32" s="35">
        <v>0.3</v>
      </c>
      <c r="G32" s="12"/>
    </row>
    <row r="33" spans="1:6" ht="12.75">
      <c r="A33" t="s">
        <v>25</v>
      </c>
      <c r="F33">
        <f>+F28*(F31+F32)</f>
        <v>22680</v>
      </c>
    </row>
    <row r="40" spans="2:4" ht="15.75">
      <c r="B40" s="15" t="s">
        <v>68</v>
      </c>
      <c r="C40" s="5"/>
      <c r="D40" s="5"/>
    </row>
    <row r="41" spans="1:11" ht="12.75">
      <c r="A41" t="s">
        <v>27</v>
      </c>
      <c r="F41" s="35">
        <v>3</v>
      </c>
      <c r="H41" t="s">
        <v>33</v>
      </c>
      <c r="K41">
        <f>+F41*(F41/2+0.5)</f>
        <v>6</v>
      </c>
    </row>
    <row r="42" spans="1:6" ht="12.75">
      <c r="A42" t="s">
        <v>60</v>
      </c>
      <c r="F42" s="2">
        <f>+F13*F41</f>
        <v>15</v>
      </c>
    </row>
    <row r="43" spans="1:6" ht="12.75">
      <c r="A43" t="s">
        <v>61</v>
      </c>
      <c r="F43" s="3">
        <f>+(F23/K41)*F12</f>
        <v>315</v>
      </c>
    </row>
    <row r="44" spans="1:6" ht="12.75">
      <c r="A44" t="s">
        <v>62</v>
      </c>
      <c r="F44" s="3">
        <f>+F42*F43</f>
        <v>4725</v>
      </c>
    </row>
    <row r="45" spans="1:7" ht="12.75">
      <c r="A45" t="s">
        <v>63</v>
      </c>
      <c r="F45" s="35">
        <v>0.4</v>
      </c>
      <c r="G45" s="12"/>
    </row>
    <row r="46" spans="1:6" ht="12.75">
      <c r="A46" t="s">
        <v>64</v>
      </c>
      <c r="F46" s="3">
        <f>+F44*F45</f>
        <v>1890</v>
      </c>
    </row>
    <row r="47" ht="12.75">
      <c r="F47" s="3"/>
    </row>
    <row r="48" ht="12.75">
      <c r="F48" s="3"/>
    </row>
    <row r="49" spans="1:6" ht="12.75">
      <c r="A49" t="s">
        <v>34</v>
      </c>
      <c r="F49" s="35">
        <v>10</v>
      </c>
    </row>
    <row r="50" spans="1:8" ht="12.75">
      <c r="A50" t="s">
        <v>103</v>
      </c>
      <c r="F50" s="14">
        <f>+J51*0.75</f>
        <v>4.5</v>
      </c>
      <c r="G50" s="12"/>
      <c r="H50" t="s">
        <v>96</v>
      </c>
    </row>
    <row r="51" spans="1:11" ht="12.75">
      <c r="A51" t="s">
        <v>35</v>
      </c>
      <c r="F51" s="3">
        <f>+F50*F49</f>
        <v>45</v>
      </c>
      <c r="H51" t="s">
        <v>109</v>
      </c>
      <c r="J51">
        <f>ROUND(+F43/50,0)</f>
        <v>6</v>
      </c>
      <c r="K51" t="s">
        <v>102</v>
      </c>
    </row>
    <row r="52" spans="1:8" ht="12.75">
      <c r="A52" t="s">
        <v>104</v>
      </c>
      <c r="F52" s="14">
        <f>+J51*1</f>
        <v>6</v>
      </c>
      <c r="G52" s="12"/>
      <c r="H52" t="s">
        <v>97</v>
      </c>
    </row>
    <row r="53" spans="1:6" ht="12.75">
      <c r="A53" t="s">
        <v>36</v>
      </c>
      <c r="F53" s="3">
        <f>+F49*F52</f>
        <v>60</v>
      </c>
    </row>
    <row r="54" spans="1:6" ht="12.75">
      <c r="A54" t="s">
        <v>37</v>
      </c>
      <c r="F54" s="3">
        <f>+((F41-1)*2+1)*(F13+2)</f>
        <v>35</v>
      </c>
    </row>
    <row r="55" spans="1:6" ht="12.75">
      <c r="A55" t="s">
        <v>38</v>
      </c>
      <c r="F55" s="3">
        <f>+F54*F43</f>
        <v>11025</v>
      </c>
    </row>
    <row r="56" spans="1:7" ht="12.75">
      <c r="A56" t="s">
        <v>39</v>
      </c>
      <c r="F56" s="35">
        <v>0.06</v>
      </c>
      <c r="G56" s="12"/>
    </row>
    <row r="57" spans="1:6" ht="12.75">
      <c r="A57" t="s">
        <v>40</v>
      </c>
      <c r="F57" s="3">
        <f>+F55*F56</f>
        <v>661.5</v>
      </c>
    </row>
    <row r="58" spans="1:7" ht="12.75">
      <c r="A58" t="s">
        <v>69</v>
      </c>
      <c r="F58" s="35">
        <v>0.26</v>
      </c>
      <c r="G58" s="12"/>
    </row>
    <row r="59" spans="1:6" ht="12.75">
      <c r="A59" t="s">
        <v>70</v>
      </c>
      <c r="F59" s="3">
        <f>+F44*F58</f>
        <v>1228.5</v>
      </c>
    </row>
    <row r="60" spans="1:8" ht="12.75">
      <c r="A60" t="s">
        <v>41</v>
      </c>
      <c r="F60" s="35">
        <v>0.0038</v>
      </c>
      <c r="G60" s="12"/>
      <c r="H60" t="s">
        <v>105</v>
      </c>
    </row>
    <row r="61" spans="1:6" ht="12.75">
      <c r="A61" t="s">
        <v>42</v>
      </c>
      <c r="F61" s="3">
        <f>F44*F60*F49</f>
        <v>179.54999999999998</v>
      </c>
    </row>
    <row r="62" spans="1:8" ht="12.75">
      <c r="A62" t="s">
        <v>43</v>
      </c>
      <c r="F62" s="35">
        <v>0.005</v>
      </c>
      <c r="G62" s="12"/>
      <c r="H62" t="s">
        <v>106</v>
      </c>
    </row>
    <row r="63" spans="1:7" ht="12.75">
      <c r="A63" t="s">
        <v>44</v>
      </c>
      <c r="F63" s="3">
        <f>+F44*F62*F49</f>
        <v>236.25</v>
      </c>
      <c r="G63" s="12"/>
    </row>
    <row r="65" spans="1:6" ht="12.75">
      <c r="A65" t="s">
        <v>101</v>
      </c>
      <c r="F65" s="35">
        <v>23</v>
      </c>
    </row>
    <row r="66" spans="1:6" ht="12.75">
      <c r="A66" t="s">
        <v>100</v>
      </c>
      <c r="F66">
        <f>+(+F60+F62)*F44*F65</f>
        <v>956.3400000000001</v>
      </c>
    </row>
    <row r="73" spans="1:6" ht="12.75">
      <c r="A73" t="s">
        <v>67</v>
      </c>
      <c r="F73" s="35">
        <v>8</v>
      </c>
    </row>
    <row r="79" ht="12.75">
      <c r="J79" t="s">
        <v>57</v>
      </c>
    </row>
    <row r="80" spans="1:10" ht="12.75">
      <c r="A80" t="s">
        <v>45</v>
      </c>
      <c r="B80" t="s">
        <v>46</v>
      </c>
      <c r="D80" t="s">
        <v>47</v>
      </c>
      <c r="E80" t="s">
        <v>48</v>
      </c>
      <c r="F80" t="s">
        <v>49</v>
      </c>
      <c r="G80" t="s">
        <v>50</v>
      </c>
      <c r="H80" t="s">
        <v>51</v>
      </c>
      <c r="I80" t="s">
        <v>52</v>
      </c>
      <c r="J80" t="s">
        <v>59</v>
      </c>
    </row>
    <row r="81" ht="12.75">
      <c r="J81" t="s">
        <v>58</v>
      </c>
    </row>
    <row r="82" spans="4:10" ht="12.75">
      <c r="D82" t="s">
        <v>54</v>
      </c>
      <c r="E82" t="s">
        <v>54</v>
      </c>
      <c r="F82" t="s">
        <v>54</v>
      </c>
      <c r="G82" t="s">
        <v>54</v>
      </c>
      <c r="H82" t="s">
        <v>54</v>
      </c>
      <c r="I82" t="s">
        <v>54</v>
      </c>
      <c r="J82" t="s">
        <v>53</v>
      </c>
    </row>
    <row r="83" spans="1:10" ht="12.75">
      <c r="A83" t="s">
        <v>55</v>
      </c>
      <c r="B83" s="35">
        <v>20</v>
      </c>
      <c r="D83" s="4">
        <f>1/B83*100</f>
        <v>5</v>
      </c>
      <c r="E83">
        <f>+F73/2</f>
        <v>4</v>
      </c>
      <c r="F83" s="35">
        <v>1</v>
      </c>
      <c r="G83" s="35">
        <v>1.5</v>
      </c>
      <c r="H83" s="35">
        <v>0.5</v>
      </c>
      <c r="I83" s="4">
        <f>SUM(D83:H83)</f>
        <v>12</v>
      </c>
      <c r="J83" s="6">
        <f>+F33*I83/100</f>
        <v>2721.6</v>
      </c>
    </row>
    <row r="84" spans="1:10" ht="12.75">
      <c r="A84" t="s">
        <v>56</v>
      </c>
      <c r="B84" s="35">
        <v>20</v>
      </c>
      <c r="D84" s="4">
        <f>1/B84*100</f>
        <v>5</v>
      </c>
      <c r="E84">
        <f>+F73/2</f>
        <v>4</v>
      </c>
      <c r="F84" s="35">
        <v>1.5</v>
      </c>
      <c r="G84" s="35">
        <v>1.5</v>
      </c>
      <c r="H84" s="35">
        <v>0.5</v>
      </c>
      <c r="I84" s="4">
        <f>SUM(D84:H84)</f>
        <v>12.5</v>
      </c>
      <c r="J84" s="6">
        <f>+F46*I84/100</f>
        <v>236.25</v>
      </c>
    </row>
    <row r="85" spans="1:10" ht="12.75">
      <c r="A85" t="s">
        <v>65</v>
      </c>
      <c r="B85" s="35">
        <v>5</v>
      </c>
      <c r="D85" s="4">
        <f>1/B85*100</f>
        <v>20</v>
      </c>
      <c r="E85">
        <f>+F73/2</f>
        <v>4</v>
      </c>
      <c r="F85" s="35">
        <v>0</v>
      </c>
      <c r="G85" s="35">
        <v>0</v>
      </c>
      <c r="H85" s="35">
        <v>0</v>
      </c>
      <c r="I85" s="4">
        <f>SUM(D85:H85)</f>
        <v>24</v>
      </c>
      <c r="J85" s="6">
        <f>+F57*I85/100</f>
        <v>158.76</v>
      </c>
    </row>
    <row r="86" spans="1:10" ht="12.75">
      <c r="A86" t="s">
        <v>66</v>
      </c>
      <c r="B86" s="35">
        <v>7</v>
      </c>
      <c r="D86" s="4">
        <f>1/B86*100</f>
        <v>14.285714285714285</v>
      </c>
      <c r="E86">
        <f>+F73/2</f>
        <v>4</v>
      </c>
      <c r="F86" s="35">
        <v>1</v>
      </c>
      <c r="G86" s="35">
        <v>0</v>
      </c>
      <c r="H86" s="35">
        <v>0</v>
      </c>
      <c r="I86" s="4">
        <f>SUM(D86:H86)</f>
        <v>19.285714285714285</v>
      </c>
      <c r="J86" s="6">
        <f>+F59*I86/100</f>
        <v>236.925</v>
      </c>
    </row>
    <row r="87" spans="1:10" ht="12.75">
      <c r="A87" s="12"/>
      <c r="B87" s="12"/>
      <c r="C87" s="12"/>
      <c r="D87" s="13"/>
      <c r="E87" s="12"/>
      <c r="F87" s="12"/>
      <c r="G87" s="12"/>
      <c r="H87" s="12"/>
      <c r="I87" s="13"/>
      <c r="J87" s="12"/>
    </row>
    <row r="88" spans="4:16" ht="12.75">
      <c r="D88" s="10" t="s">
        <v>81</v>
      </c>
      <c r="E88" s="10"/>
      <c r="O88" s="10" t="s">
        <v>82</v>
      </c>
      <c r="P88" s="10"/>
    </row>
    <row r="89" spans="1:13" ht="12.75">
      <c r="A89" t="s">
        <v>78</v>
      </c>
      <c r="B89">
        <f>+$F$11</f>
        <v>40</v>
      </c>
      <c r="L89" t="s">
        <v>78</v>
      </c>
      <c r="M89">
        <f>+$B$89</f>
        <v>40</v>
      </c>
    </row>
    <row r="90" spans="1:20" ht="12.75">
      <c r="A90" t="s">
        <v>79</v>
      </c>
      <c r="B90">
        <v>6</v>
      </c>
      <c r="E90" s="8" t="s">
        <v>85</v>
      </c>
      <c r="G90" t="s">
        <v>73</v>
      </c>
      <c r="I90" s="8" t="s">
        <v>86</v>
      </c>
      <c r="L90" t="s">
        <v>79</v>
      </c>
      <c r="M90">
        <v>12</v>
      </c>
      <c r="P90" s="9" t="s">
        <v>83</v>
      </c>
      <c r="R90" t="s">
        <v>73</v>
      </c>
      <c r="T90" s="8" t="s">
        <v>84</v>
      </c>
    </row>
    <row r="91" spans="4:21" ht="12.75">
      <c r="D91" t="s">
        <v>72</v>
      </c>
      <c r="E91" t="s">
        <v>74</v>
      </c>
      <c r="F91" t="s">
        <v>75</v>
      </c>
      <c r="G91" t="s">
        <v>76</v>
      </c>
      <c r="H91" t="s">
        <v>77</v>
      </c>
      <c r="J91" t="s">
        <v>80</v>
      </c>
      <c r="O91" t="s">
        <v>72</v>
      </c>
      <c r="P91" t="s">
        <v>74</v>
      </c>
      <c r="Q91" t="s">
        <v>75</v>
      </c>
      <c r="R91" t="s">
        <v>76</v>
      </c>
      <c r="S91" t="s">
        <v>77</v>
      </c>
      <c r="U91" t="s">
        <v>80</v>
      </c>
    </row>
    <row r="92" spans="4:20" ht="12.75">
      <c r="D92" t="s">
        <v>58</v>
      </c>
      <c r="I92" t="s">
        <v>98</v>
      </c>
      <c r="O92" t="s">
        <v>58</v>
      </c>
      <c r="T92" t="s">
        <v>98</v>
      </c>
    </row>
    <row r="93" spans="4:20" ht="12.75">
      <c r="D93" t="s">
        <v>71</v>
      </c>
      <c r="I93" t="s">
        <v>99</v>
      </c>
      <c r="O93" t="s">
        <v>71</v>
      </c>
      <c r="T93" t="s">
        <v>99</v>
      </c>
    </row>
    <row r="95" spans="1:12" ht="12.75">
      <c r="A95" t="s">
        <v>26</v>
      </c>
      <c r="L95" t="s">
        <v>26</v>
      </c>
    </row>
    <row r="96" spans="1:21" ht="12.75">
      <c r="A96" t="s">
        <v>11</v>
      </c>
      <c r="D96" s="37">
        <v>0</v>
      </c>
      <c r="E96" s="36">
        <v>0</v>
      </c>
      <c r="F96" s="35">
        <v>0</v>
      </c>
      <c r="G96" s="36">
        <v>0</v>
      </c>
      <c r="H96" s="4">
        <f>+$K$23*$B$89*$F$16/100</f>
        <v>723.9456</v>
      </c>
      <c r="I96" s="35">
        <v>0</v>
      </c>
      <c r="J96" s="34">
        <f aca="true" t="shared" si="0" ref="J96:J101">SUM(E96:I96)</f>
        <v>723.9456</v>
      </c>
      <c r="L96" t="s">
        <v>11</v>
      </c>
      <c r="O96" s="37">
        <v>0</v>
      </c>
      <c r="P96" s="36">
        <v>0</v>
      </c>
      <c r="Q96" s="35">
        <v>0</v>
      </c>
      <c r="R96" s="36">
        <v>0</v>
      </c>
      <c r="S96" s="4">
        <f>+$K$23*$B$89*$G$16/100</f>
        <v>990.6623999999999</v>
      </c>
      <c r="T96" s="35">
        <v>0</v>
      </c>
      <c r="U96" s="34">
        <f aca="true" t="shared" si="1" ref="U96:U101">SUM(P96:T96)</f>
        <v>990.6623999999999</v>
      </c>
    </row>
    <row r="97" spans="1:21" ht="12.75">
      <c r="A97" t="s">
        <v>12</v>
      </c>
      <c r="D97" s="6">
        <f>+$F$46</f>
        <v>1890</v>
      </c>
      <c r="E97" s="35">
        <v>0</v>
      </c>
      <c r="F97" s="6">
        <f>+$J$84</f>
        <v>236.25</v>
      </c>
      <c r="G97" s="35">
        <v>0</v>
      </c>
      <c r="H97" s="4">
        <f>+$K$23*$B$89*$F$17/100</f>
        <v>609.6383999999999</v>
      </c>
      <c r="I97" s="35">
        <v>0</v>
      </c>
      <c r="J97" s="34">
        <f t="shared" si="0"/>
        <v>845.8883999999999</v>
      </c>
      <c r="L97" t="s">
        <v>12</v>
      </c>
      <c r="O97" s="6">
        <f>+$F$46</f>
        <v>1890</v>
      </c>
      <c r="P97" s="35">
        <v>0</v>
      </c>
      <c r="Q97" s="6">
        <f>+$J$84</f>
        <v>236.25</v>
      </c>
      <c r="R97" s="35">
        <v>0</v>
      </c>
      <c r="S97" s="4">
        <f>+$K$23*$B$89*$G$17/100</f>
        <v>762.0479999999999</v>
      </c>
      <c r="T97" s="35">
        <v>0</v>
      </c>
      <c r="U97" s="34">
        <f t="shared" si="1"/>
        <v>998.2979999999999</v>
      </c>
    </row>
    <row r="98" spans="1:21" ht="12.75">
      <c r="A98" t="s">
        <v>13</v>
      </c>
      <c r="D98" s="6">
        <f>+$F$46+$F$59</f>
        <v>3118.5</v>
      </c>
      <c r="E98">
        <f>+$F$61+$F$63</f>
        <v>415.79999999999995</v>
      </c>
      <c r="F98" s="6">
        <f>+$J$84+$J$86</f>
        <v>473.175</v>
      </c>
      <c r="G98" s="35">
        <v>0</v>
      </c>
      <c r="H98" s="4">
        <f>+$K$23*$B$89*$F$18/100</f>
        <v>571.536</v>
      </c>
      <c r="I98">
        <f>+$F$66</f>
        <v>956.3400000000001</v>
      </c>
      <c r="J98" s="34">
        <f t="shared" si="0"/>
        <v>2416.851</v>
      </c>
      <c r="L98" t="s">
        <v>13</v>
      </c>
      <c r="O98" s="6">
        <f>+$F$46+$F$59</f>
        <v>3118.5</v>
      </c>
      <c r="P98">
        <f>+$F$61+$F$63</f>
        <v>415.79999999999995</v>
      </c>
      <c r="Q98" s="6">
        <f>+$J$84+$J$86</f>
        <v>473.175</v>
      </c>
      <c r="R98" s="35">
        <v>0</v>
      </c>
      <c r="S98" s="4">
        <f>+$K$23*$B$89*$G$18/100</f>
        <v>647.7407999999999</v>
      </c>
      <c r="T98">
        <f>+$F$66</f>
        <v>956.3400000000001</v>
      </c>
      <c r="U98" s="34">
        <f t="shared" si="1"/>
        <v>2493.0558</v>
      </c>
    </row>
    <row r="99" spans="1:21" ht="12.75">
      <c r="A99" t="s">
        <v>118</v>
      </c>
      <c r="D99" s="6">
        <f>+$F$46+$F$57</f>
        <v>2551.5</v>
      </c>
      <c r="E99" s="6">
        <f>+$F$51+$F$53</f>
        <v>105</v>
      </c>
      <c r="F99" s="6">
        <f>+$J$84</f>
        <v>236.25</v>
      </c>
      <c r="G99" s="6">
        <f>+$J$85</f>
        <v>158.76</v>
      </c>
      <c r="H99" s="4">
        <f>+$K$23*$B$89*$F$19/100</f>
        <v>304.81919999999997</v>
      </c>
      <c r="I99" s="35">
        <v>0</v>
      </c>
      <c r="J99" s="34">
        <f t="shared" si="0"/>
        <v>804.8291999999999</v>
      </c>
      <c r="L99" t="s">
        <v>118</v>
      </c>
      <c r="O99" s="6">
        <f>+$F$46+$F$57</f>
        <v>2551.5</v>
      </c>
      <c r="P99" s="6">
        <f>+$F$51+$F$53</f>
        <v>105</v>
      </c>
      <c r="Q99" s="6">
        <f>+$J$84</f>
        <v>236.25</v>
      </c>
      <c r="R99" s="6">
        <f>+$J$85</f>
        <v>158.76</v>
      </c>
      <c r="S99" s="4">
        <f>+$K$23*$B$89*$G$19/100</f>
        <v>381.02399999999994</v>
      </c>
      <c r="T99" s="35">
        <v>0</v>
      </c>
      <c r="U99" s="34">
        <f t="shared" si="1"/>
        <v>881.0339999999999</v>
      </c>
    </row>
    <row r="100" spans="1:21" ht="12.75">
      <c r="A100" t="s">
        <v>14</v>
      </c>
      <c r="D100" s="6">
        <f>+$F$46+$F$57+$F$59</f>
        <v>3780</v>
      </c>
      <c r="E100">
        <f>+$F$61+$F$63+$F$51+$F$53</f>
        <v>520.8</v>
      </c>
      <c r="F100" s="6">
        <f>+$J$84+$J$86</f>
        <v>473.175</v>
      </c>
      <c r="G100" s="6">
        <f>+$J$85</f>
        <v>158.76</v>
      </c>
      <c r="H100" s="4">
        <f>+$K$23*$B$89*$F$20/100</f>
        <v>228.6144</v>
      </c>
      <c r="I100">
        <f>+$F$66</f>
        <v>956.3400000000001</v>
      </c>
      <c r="J100" s="34">
        <f t="shared" si="0"/>
        <v>2337.6894</v>
      </c>
      <c r="L100" t="s">
        <v>14</v>
      </c>
      <c r="O100" s="6">
        <f>+$F$46+$F$57+$F$59</f>
        <v>3780</v>
      </c>
      <c r="P100">
        <f>+$F$61+$F$63+$F$51+$F$53</f>
        <v>520.8</v>
      </c>
      <c r="Q100" s="6">
        <f>+$J$84+$J$86</f>
        <v>473.175</v>
      </c>
      <c r="R100" s="6">
        <f>+$J$85</f>
        <v>158.76</v>
      </c>
      <c r="S100" s="4">
        <f>+$K$23*$B$89*$G$20/100</f>
        <v>304.81919999999997</v>
      </c>
      <c r="T100">
        <f>+$F$66</f>
        <v>956.3400000000001</v>
      </c>
      <c r="U100" s="34">
        <f t="shared" si="1"/>
        <v>2413.8941999999997</v>
      </c>
    </row>
    <row r="101" spans="1:21" ht="12.75">
      <c r="A101" t="s">
        <v>15</v>
      </c>
      <c r="D101" s="6">
        <f>+$F$33</f>
        <v>22680</v>
      </c>
      <c r="E101" s="35">
        <v>0</v>
      </c>
      <c r="F101" s="6">
        <f>+$J$83</f>
        <v>2721.6</v>
      </c>
      <c r="G101" s="35">
        <v>0</v>
      </c>
      <c r="H101" s="4">
        <f>+$K$23*$B$89*$F$21/100</f>
        <v>152.40959999999998</v>
      </c>
      <c r="I101" s="35">
        <v>0</v>
      </c>
      <c r="J101" s="34">
        <f t="shared" si="0"/>
        <v>2874.0096</v>
      </c>
      <c r="L101" t="s">
        <v>15</v>
      </c>
      <c r="O101" s="6">
        <f>+$F$33</f>
        <v>22680</v>
      </c>
      <c r="P101" s="35">
        <v>0</v>
      </c>
      <c r="Q101" s="6">
        <f>+$J$83</f>
        <v>2721.6</v>
      </c>
      <c r="R101" s="35">
        <v>0</v>
      </c>
      <c r="S101" s="4">
        <f>+$K$23*$B$89*$G$21/100</f>
        <v>152.40959999999998</v>
      </c>
      <c r="T101" s="35">
        <v>0</v>
      </c>
      <c r="U101" s="34">
        <f t="shared" si="1"/>
        <v>2874.0096</v>
      </c>
    </row>
    <row r="104" spans="4:16" ht="12.75">
      <c r="D104" s="10" t="s">
        <v>87</v>
      </c>
      <c r="E104" s="10"/>
      <c r="O104" s="10" t="s">
        <v>88</v>
      </c>
      <c r="P104" s="10"/>
    </row>
    <row r="105" spans="1:13" ht="12.75">
      <c r="A105" t="s">
        <v>78</v>
      </c>
      <c r="B105">
        <f>+$F$11+20</f>
        <v>60</v>
      </c>
      <c r="L105" t="s">
        <v>78</v>
      </c>
      <c r="M105">
        <f>+$B$105</f>
        <v>60</v>
      </c>
    </row>
    <row r="106" spans="1:20" ht="12.75">
      <c r="A106" t="s">
        <v>79</v>
      </c>
      <c r="B106">
        <v>6</v>
      </c>
      <c r="E106" s="8" t="s">
        <v>85</v>
      </c>
      <c r="G106" t="s">
        <v>73</v>
      </c>
      <c r="I106" s="8" t="s">
        <v>86</v>
      </c>
      <c r="L106" t="s">
        <v>79</v>
      </c>
      <c r="M106">
        <v>12</v>
      </c>
      <c r="P106" s="9" t="s">
        <v>83</v>
      </c>
      <c r="R106" t="s">
        <v>73</v>
      </c>
      <c r="T106" s="8" t="s">
        <v>84</v>
      </c>
    </row>
    <row r="107" spans="4:21" ht="12.75">
      <c r="D107" t="s">
        <v>72</v>
      </c>
      <c r="E107" t="s">
        <v>74</v>
      </c>
      <c r="F107" t="s">
        <v>75</v>
      </c>
      <c r="G107" t="s">
        <v>76</v>
      </c>
      <c r="H107" t="s">
        <v>77</v>
      </c>
      <c r="J107" t="s">
        <v>80</v>
      </c>
      <c r="O107" t="s">
        <v>72</v>
      </c>
      <c r="P107" t="s">
        <v>74</v>
      </c>
      <c r="Q107" t="s">
        <v>75</v>
      </c>
      <c r="R107" t="s">
        <v>76</v>
      </c>
      <c r="S107" t="s">
        <v>77</v>
      </c>
      <c r="U107" t="s">
        <v>80</v>
      </c>
    </row>
    <row r="108" spans="4:20" ht="12.75">
      <c r="D108" t="s">
        <v>58</v>
      </c>
      <c r="I108" t="s">
        <v>98</v>
      </c>
      <c r="O108" t="s">
        <v>58</v>
      </c>
      <c r="T108" t="s">
        <v>98</v>
      </c>
    </row>
    <row r="109" spans="4:20" ht="12.75">
      <c r="D109" t="s">
        <v>71</v>
      </c>
      <c r="I109" t="s">
        <v>99</v>
      </c>
      <c r="O109" t="s">
        <v>71</v>
      </c>
      <c r="T109" t="s">
        <v>99</v>
      </c>
    </row>
    <row r="111" spans="1:12" ht="12.75">
      <c r="A111" t="s">
        <v>26</v>
      </c>
      <c r="L111" t="s">
        <v>26</v>
      </c>
    </row>
    <row r="112" spans="1:21" ht="12.75">
      <c r="A112" t="s">
        <v>11</v>
      </c>
      <c r="D112" s="37">
        <v>0</v>
      </c>
      <c r="E112" s="36">
        <v>0</v>
      </c>
      <c r="F112" s="35">
        <v>0</v>
      </c>
      <c r="G112" s="36">
        <v>0</v>
      </c>
      <c r="H112" s="4">
        <f>+$K$23*$B$105*$F$16/100</f>
        <v>1085.9184</v>
      </c>
      <c r="I112" s="35">
        <v>0</v>
      </c>
      <c r="J112" s="34">
        <f aca="true" t="shared" si="2" ref="J112:J117">SUM(E112:I112)</f>
        <v>1085.9184</v>
      </c>
      <c r="L112" t="s">
        <v>11</v>
      </c>
      <c r="O112" s="37">
        <v>0</v>
      </c>
      <c r="P112" s="36">
        <v>0</v>
      </c>
      <c r="Q112" s="35">
        <v>0</v>
      </c>
      <c r="R112" s="36">
        <v>0</v>
      </c>
      <c r="S112" s="4">
        <f>+$K$23*$B$105*$G$16/100</f>
        <v>1485.9935999999998</v>
      </c>
      <c r="T112" s="35">
        <v>0</v>
      </c>
      <c r="U112" s="34">
        <f aca="true" t="shared" si="3" ref="U112:U117">SUM(P112:T112)</f>
        <v>1485.9935999999998</v>
      </c>
    </row>
    <row r="113" spans="1:21" ht="12.75">
      <c r="A113" t="s">
        <v>12</v>
      </c>
      <c r="D113" s="6">
        <f>+$F$46</f>
        <v>1890</v>
      </c>
      <c r="E113" s="35">
        <v>0</v>
      </c>
      <c r="F113" s="6">
        <f>+$J$84</f>
        <v>236.25</v>
      </c>
      <c r="G113" s="35">
        <v>0</v>
      </c>
      <c r="H113" s="4">
        <f>+$K$23*$B$105*$F$17/100</f>
        <v>914.4576</v>
      </c>
      <c r="I113" s="35">
        <v>0</v>
      </c>
      <c r="J113" s="34">
        <f t="shared" si="2"/>
        <v>1150.7076</v>
      </c>
      <c r="L113" t="s">
        <v>12</v>
      </c>
      <c r="O113" s="6">
        <f>+$F$46</f>
        <v>1890</v>
      </c>
      <c r="P113" s="35">
        <v>0</v>
      </c>
      <c r="Q113" s="6">
        <f>+$J$84</f>
        <v>236.25</v>
      </c>
      <c r="R113" s="35">
        <v>0</v>
      </c>
      <c r="S113" s="4">
        <f>+$K$23*$B$105*$G$17/100</f>
        <v>1143.072</v>
      </c>
      <c r="T113" s="35">
        <v>0</v>
      </c>
      <c r="U113" s="34">
        <f t="shared" si="3"/>
        <v>1379.322</v>
      </c>
    </row>
    <row r="114" spans="1:21" ht="12.75">
      <c r="A114" t="s">
        <v>13</v>
      </c>
      <c r="D114" s="6">
        <f>+$F$46+$F$59</f>
        <v>3118.5</v>
      </c>
      <c r="E114">
        <f>+$F$61+$F$63</f>
        <v>415.79999999999995</v>
      </c>
      <c r="F114" s="6">
        <f>+$J$84+$J$86</f>
        <v>473.175</v>
      </c>
      <c r="G114" s="35">
        <v>0</v>
      </c>
      <c r="H114" s="4">
        <f>+$K$23*$B$105*$F$18/100</f>
        <v>857.304</v>
      </c>
      <c r="I114">
        <f>+$F$66</f>
        <v>956.3400000000001</v>
      </c>
      <c r="J114" s="34">
        <f t="shared" si="2"/>
        <v>2702.619</v>
      </c>
      <c r="L114" t="s">
        <v>13</v>
      </c>
      <c r="O114" s="6">
        <f>+$F$46+$F$59</f>
        <v>3118.5</v>
      </c>
      <c r="P114">
        <f>+$F$61+$F$63</f>
        <v>415.79999999999995</v>
      </c>
      <c r="Q114" s="6">
        <f>+$J$84+$J$86</f>
        <v>473.175</v>
      </c>
      <c r="R114" s="35">
        <v>0</v>
      </c>
      <c r="S114" s="4">
        <f>+$K$23*$B$105*$G$18/100</f>
        <v>971.6111999999999</v>
      </c>
      <c r="T114">
        <f>+$F$66</f>
        <v>956.3400000000001</v>
      </c>
      <c r="U114" s="34">
        <f t="shared" si="3"/>
        <v>2816.9262</v>
      </c>
    </row>
    <row r="115" spans="1:21" ht="12.75">
      <c r="A115" t="s">
        <v>118</v>
      </c>
      <c r="D115" s="6">
        <f>+$F$46+$F$57</f>
        <v>2551.5</v>
      </c>
      <c r="E115" s="6">
        <f>+$F$51+$F$53</f>
        <v>105</v>
      </c>
      <c r="F115" s="6">
        <f>+$J$84</f>
        <v>236.25</v>
      </c>
      <c r="G115" s="6">
        <f>+$J$85</f>
        <v>158.76</v>
      </c>
      <c r="H115" s="4">
        <f>+$K$23*$B$105*$F$19/100</f>
        <v>457.2288</v>
      </c>
      <c r="I115" s="35">
        <v>0</v>
      </c>
      <c r="J115" s="34">
        <f t="shared" si="2"/>
        <v>957.2388</v>
      </c>
      <c r="L115" t="s">
        <v>118</v>
      </c>
      <c r="O115" s="6">
        <f>+$F$46+$F$57</f>
        <v>2551.5</v>
      </c>
      <c r="P115" s="6">
        <f>+$F$51+$F$53</f>
        <v>105</v>
      </c>
      <c r="Q115" s="6">
        <f>+$J$84</f>
        <v>236.25</v>
      </c>
      <c r="R115" s="6">
        <f>+$J$85</f>
        <v>158.76</v>
      </c>
      <c r="S115" s="4">
        <f>+$K$23*$B$105*$G$19/100</f>
        <v>571.536</v>
      </c>
      <c r="T115" s="35">
        <v>0</v>
      </c>
      <c r="U115" s="34">
        <f t="shared" si="3"/>
        <v>1071.5459999999998</v>
      </c>
    </row>
    <row r="116" spans="1:21" ht="12.75">
      <c r="A116" t="s">
        <v>14</v>
      </c>
      <c r="D116" s="6">
        <f>+$F$46+$F$57+$F$59</f>
        <v>3780</v>
      </c>
      <c r="E116">
        <f>+$F$61+$F$63+$F$51+$F$53</f>
        <v>520.8</v>
      </c>
      <c r="F116" s="6">
        <f>+$J$84+$J$86</f>
        <v>473.175</v>
      </c>
      <c r="G116" s="6">
        <f>+$J$85</f>
        <v>158.76</v>
      </c>
      <c r="H116" s="4">
        <f>+$K$23*$B$105*$F$20/100</f>
        <v>342.92159999999996</v>
      </c>
      <c r="I116">
        <f>+$F$66</f>
        <v>956.3400000000001</v>
      </c>
      <c r="J116" s="34">
        <f t="shared" si="2"/>
        <v>2451.9966</v>
      </c>
      <c r="L116" t="s">
        <v>14</v>
      </c>
      <c r="O116" s="6">
        <f>+$F$46+$F$57+$F$59</f>
        <v>3780</v>
      </c>
      <c r="P116">
        <f>+$F$61+$F$63+$F$51+$F$53</f>
        <v>520.8</v>
      </c>
      <c r="Q116" s="6">
        <f>+$J$84+$J$86</f>
        <v>473.175</v>
      </c>
      <c r="R116" s="6">
        <f>+$J$85</f>
        <v>158.76</v>
      </c>
      <c r="S116" s="4">
        <f>+$K$23*$B$105*$G$20/100</f>
        <v>457.2288</v>
      </c>
      <c r="T116">
        <f>+$F$66</f>
        <v>956.3400000000001</v>
      </c>
      <c r="U116" s="34">
        <f t="shared" si="3"/>
        <v>2566.3038</v>
      </c>
    </row>
    <row r="117" spans="1:21" ht="12.75">
      <c r="A117" t="s">
        <v>15</v>
      </c>
      <c r="D117" s="6">
        <f>+$F$33</f>
        <v>22680</v>
      </c>
      <c r="E117" s="35">
        <v>0</v>
      </c>
      <c r="F117" s="6">
        <f>+$J$83</f>
        <v>2721.6</v>
      </c>
      <c r="G117" s="35">
        <v>0</v>
      </c>
      <c r="H117" s="4">
        <f>+$K$23*$B$105*$F$21/100</f>
        <v>228.6144</v>
      </c>
      <c r="I117" s="35">
        <v>0</v>
      </c>
      <c r="J117" s="34">
        <f t="shared" si="2"/>
        <v>2950.2144</v>
      </c>
      <c r="L117" t="s">
        <v>15</v>
      </c>
      <c r="O117" s="6">
        <f>+$F$33</f>
        <v>22680</v>
      </c>
      <c r="P117" s="35">
        <v>0</v>
      </c>
      <c r="Q117" s="6">
        <f>+$J$83</f>
        <v>2721.6</v>
      </c>
      <c r="R117" s="35">
        <v>0</v>
      </c>
      <c r="S117" s="4">
        <f>+$K$23*$B$105*$G$21/100</f>
        <v>228.6144</v>
      </c>
      <c r="T117" s="35">
        <v>0</v>
      </c>
      <c r="U117" s="34">
        <f t="shared" si="3"/>
        <v>2950.2144</v>
      </c>
    </row>
    <row r="118" spans="18:21" ht="12.75">
      <c r="R118" s="38"/>
      <c r="U118" s="33"/>
    </row>
    <row r="120" spans="4:16" ht="12.75">
      <c r="D120" s="10" t="s">
        <v>89</v>
      </c>
      <c r="E120" s="10"/>
      <c r="O120" s="10" t="s">
        <v>90</v>
      </c>
      <c r="P120" s="10"/>
    </row>
    <row r="121" spans="1:13" ht="12.75">
      <c r="A121" t="s">
        <v>78</v>
      </c>
      <c r="B121">
        <f>+$F$11+40</f>
        <v>80</v>
      </c>
      <c r="L121" t="s">
        <v>78</v>
      </c>
      <c r="M121">
        <f>+$B$121</f>
        <v>80</v>
      </c>
    </row>
    <row r="122" spans="1:20" ht="12.75">
      <c r="A122" t="s">
        <v>79</v>
      </c>
      <c r="B122">
        <v>6</v>
      </c>
      <c r="E122" s="8" t="s">
        <v>85</v>
      </c>
      <c r="G122" t="s">
        <v>73</v>
      </c>
      <c r="I122" s="8" t="s">
        <v>86</v>
      </c>
      <c r="L122" t="s">
        <v>79</v>
      </c>
      <c r="M122">
        <v>12</v>
      </c>
      <c r="P122" s="9" t="s">
        <v>83</v>
      </c>
      <c r="R122" t="s">
        <v>73</v>
      </c>
      <c r="T122" s="8" t="s">
        <v>84</v>
      </c>
    </row>
    <row r="123" spans="4:21" ht="12.75">
      <c r="D123" t="s">
        <v>72</v>
      </c>
      <c r="E123" t="s">
        <v>74</v>
      </c>
      <c r="F123" t="s">
        <v>75</v>
      </c>
      <c r="G123" t="s">
        <v>76</v>
      </c>
      <c r="H123" t="s">
        <v>77</v>
      </c>
      <c r="J123" t="s">
        <v>80</v>
      </c>
      <c r="O123" t="s">
        <v>72</v>
      </c>
      <c r="P123" t="s">
        <v>74</v>
      </c>
      <c r="Q123" t="s">
        <v>75</v>
      </c>
      <c r="R123" t="s">
        <v>76</v>
      </c>
      <c r="S123" t="s">
        <v>77</v>
      </c>
      <c r="U123" t="s">
        <v>80</v>
      </c>
    </row>
    <row r="124" spans="4:20" ht="12.75">
      <c r="D124" t="s">
        <v>58</v>
      </c>
      <c r="I124" t="s">
        <v>98</v>
      </c>
      <c r="O124" t="s">
        <v>58</v>
      </c>
      <c r="T124" t="s">
        <v>98</v>
      </c>
    </row>
    <row r="125" spans="4:20" ht="12.75">
      <c r="D125" t="s">
        <v>71</v>
      </c>
      <c r="I125" t="s">
        <v>99</v>
      </c>
      <c r="O125" t="s">
        <v>71</v>
      </c>
      <c r="T125" t="s">
        <v>99</v>
      </c>
    </row>
    <row r="127" spans="1:12" ht="12.75">
      <c r="A127" t="s">
        <v>26</v>
      </c>
      <c r="L127" t="s">
        <v>26</v>
      </c>
    </row>
    <row r="128" spans="1:21" ht="12.75">
      <c r="A128" t="s">
        <v>11</v>
      </c>
      <c r="D128" s="37">
        <v>0</v>
      </c>
      <c r="E128" s="36">
        <v>0</v>
      </c>
      <c r="F128" s="35">
        <v>0</v>
      </c>
      <c r="G128" s="36">
        <v>0</v>
      </c>
      <c r="H128" s="4">
        <f>+$K$23*$B$121*$F$16/100</f>
        <v>1447.8912</v>
      </c>
      <c r="I128" s="35">
        <v>0</v>
      </c>
      <c r="J128" s="34">
        <f aca="true" t="shared" si="4" ref="J128:J133">SUM(E128:I128)</f>
        <v>1447.8912</v>
      </c>
      <c r="L128" t="s">
        <v>11</v>
      </c>
      <c r="O128" s="37">
        <v>0</v>
      </c>
      <c r="P128" s="36">
        <v>0</v>
      </c>
      <c r="Q128" s="35">
        <v>0</v>
      </c>
      <c r="R128" s="36">
        <v>0</v>
      </c>
      <c r="S128" s="4">
        <f>+$K$23*$B$121*$G$16/100</f>
        <v>1981.3247999999999</v>
      </c>
      <c r="T128" s="35">
        <v>0</v>
      </c>
      <c r="U128" s="34">
        <f aca="true" t="shared" si="5" ref="U128:U133">SUM(P128:T128)</f>
        <v>1981.3247999999999</v>
      </c>
    </row>
    <row r="129" spans="1:21" ht="12.75">
      <c r="A129" t="s">
        <v>12</v>
      </c>
      <c r="D129" s="6">
        <f>+$F$46</f>
        <v>1890</v>
      </c>
      <c r="E129" s="35">
        <v>0</v>
      </c>
      <c r="F129" s="6">
        <f>+$J$84</f>
        <v>236.25</v>
      </c>
      <c r="G129" s="35">
        <v>0</v>
      </c>
      <c r="H129" s="4">
        <f>+$K$23*$B$121*$F$17/100</f>
        <v>1219.2767999999999</v>
      </c>
      <c r="I129" s="35">
        <v>0</v>
      </c>
      <c r="J129" s="34">
        <f t="shared" si="4"/>
        <v>1455.5267999999999</v>
      </c>
      <c r="L129" t="s">
        <v>12</v>
      </c>
      <c r="O129" s="6">
        <f>+$F$46</f>
        <v>1890</v>
      </c>
      <c r="P129" s="35">
        <v>0</v>
      </c>
      <c r="Q129" s="6">
        <f>+$J$84</f>
        <v>236.25</v>
      </c>
      <c r="R129" s="35">
        <v>0</v>
      </c>
      <c r="S129" s="4">
        <f>+$K$23*$B$121*$G$17/100</f>
        <v>1524.0959999999998</v>
      </c>
      <c r="T129" s="35">
        <v>0</v>
      </c>
      <c r="U129" s="34">
        <f t="shared" si="5"/>
        <v>1760.3459999999998</v>
      </c>
    </row>
    <row r="130" spans="1:21" ht="12.75">
      <c r="A130" t="s">
        <v>13</v>
      </c>
      <c r="D130" s="6">
        <f>+$F$46+$F$59</f>
        <v>3118.5</v>
      </c>
      <c r="E130">
        <f>+$F$61+$F$63</f>
        <v>415.79999999999995</v>
      </c>
      <c r="F130" s="6">
        <f>+$J$84+$J$86</f>
        <v>473.175</v>
      </c>
      <c r="G130" s="35">
        <v>0</v>
      </c>
      <c r="H130" s="4">
        <f>+$K$23*$B$121*$F$18/100</f>
        <v>1143.072</v>
      </c>
      <c r="I130">
        <f>+$F$66</f>
        <v>956.3400000000001</v>
      </c>
      <c r="J130" s="34">
        <f t="shared" si="4"/>
        <v>2988.3869999999997</v>
      </c>
      <c r="L130" t="s">
        <v>13</v>
      </c>
      <c r="O130" s="6">
        <f>+$F$46+$F$59</f>
        <v>3118.5</v>
      </c>
      <c r="P130">
        <f>+$F$61+$F$63</f>
        <v>415.79999999999995</v>
      </c>
      <c r="Q130" s="6">
        <f>+$J$84+$J$86</f>
        <v>473.175</v>
      </c>
      <c r="R130" s="35">
        <v>0</v>
      </c>
      <c r="S130" s="4">
        <f>+$K$23*$B$121*$G$18/100</f>
        <v>1295.4815999999998</v>
      </c>
      <c r="T130">
        <f>+$F$66</f>
        <v>956.3400000000001</v>
      </c>
      <c r="U130" s="34">
        <f t="shared" si="5"/>
        <v>3140.7965999999997</v>
      </c>
    </row>
    <row r="131" spans="1:21" ht="12.75">
      <c r="A131" t="s">
        <v>118</v>
      </c>
      <c r="D131" s="6">
        <f>+$F$46+$F$57</f>
        <v>2551.5</v>
      </c>
      <c r="E131" s="6">
        <f>+$F$51+$F$53</f>
        <v>105</v>
      </c>
      <c r="F131" s="6">
        <f>+$J$84</f>
        <v>236.25</v>
      </c>
      <c r="G131" s="6">
        <f>+$J$85</f>
        <v>158.76</v>
      </c>
      <c r="H131" s="4">
        <f>+$K$23*$B$121*$F$19/100</f>
        <v>609.6383999999999</v>
      </c>
      <c r="I131" s="35">
        <v>0</v>
      </c>
      <c r="J131" s="34">
        <f t="shared" si="4"/>
        <v>1109.6484</v>
      </c>
      <c r="L131" t="s">
        <v>118</v>
      </c>
      <c r="O131" s="6">
        <f>+$F$46+$F$57</f>
        <v>2551.5</v>
      </c>
      <c r="P131" s="6">
        <f>+$F$51+$F$53</f>
        <v>105</v>
      </c>
      <c r="Q131" s="6">
        <f>+$J$84</f>
        <v>236.25</v>
      </c>
      <c r="R131" s="6">
        <f>+$J$85</f>
        <v>158.76</v>
      </c>
      <c r="S131" s="4">
        <f>+$K$23*$B$121*$G$19/100</f>
        <v>762.0479999999999</v>
      </c>
      <c r="T131" s="35">
        <v>0</v>
      </c>
      <c r="U131" s="34">
        <f t="shared" si="5"/>
        <v>1262.058</v>
      </c>
    </row>
    <row r="132" spans="1:21" ht="12.75">
      <c r="A132" t="s">
        <v>14</v>
      </c>
      <c r="D132" s="6">
        <f>+$F$46+$F$57+$F$59</f>
        <v>3780</v>
      </c>
      <c r="E132">
        <f>+$F$61+$F$63+$F$51+$F$53</f>
        <v>520.8</v>
      </c>
      <c r="F132" s="6">
        <f>+$J$84+$J$86</f>
        <v>473.175</v>
      </c>
      <c r="G132" s="6">
        <f>+$J$85</f>
        <v>158.76</v>
      </c>
      <c r="H132" s="4">
        <f>+$K$23*$B$121*$F$20/100</f>
        <v>457.2288</v>
      </c>
      <c r="I132">
        <f>+$F$66</f>
        <v>956.3400000000001</v>
      </c>
      <c r="J132" s="34">
        <f t="shared" si="4"/>
        <v>2566.3038</v>
      </c>
      <c r="L132" t="s">
        <v>14</v>
      </c>
      <c r="O132" s="6">
        <f>+$F$46+$F$57+$F$59</f>
        <v>3780</v>
      </c>
      <c r="P132">
        <f>+$F$61+$F$63+$F$51+$F$53</f>
        <v>520.8</v>
      </c>
      <c r="Q132" s="6">
        <f>+$J$84+$J$86</f>
        <v>473.175</v>
      </c>
      <c r="R132" s="6">
        <f>+$J$85</f>
        <v>158.76</v>
      </c>
      <c r="S132" s="4">
        <f>+$K$23*$B$121*$G$20/100</f>
        <v>609.6383999999999</v>
      </c>
      <c r="T132">
        <f>+$F$66</f>
        <v>956.3400000000001</v>
      </c>
      <c r="U132" s="34">
        <f t="shared" si="5"/>
        <v>2718.7134</v>
      </c>
    </row>
    <row r="133" spans="1:21" ht="12.75">
      <c r="A133" t="s">
        <v>15</v>
      </c>
      <c r="D133" s="6">
        <f>+$F$33</f>
        <v>22680</v>
      </c>
      <c r="E133" s="35">
        <v>0</v>
      </c>
      <c r="F133" s="6">
        <f>+$J$83</f>
        <v>2721.6</v>
      </c>
      <c r="G133" s="35">
        <v>0</v>
      </c>
      <c r="H133" s="4">
        <f>+$K$23*$B$121*$F$21/100</f>
        <v>304.81919999999997</v>
      </c>
      <c r="I133" s="35">
        <v>0</v>
      </c>
      <c r="J133" s="34">
        <f t="shared" si="4"/>
        <v>3026.4192</v>
      </c>
      <c r="L133" t="s">
        <v>15</v>
      </c>
      <c r="O133" s="6">
        <f>+$F$33</f>
        <v>22680</v>
      </c>
      <c r="P133" s="35">
        <v>0</v>
      </c>
      <c r="Q133" s="6">
        <f>+$J$83</f>
        <v>2721.6</v>
      </c>
      <c r="R133" s="35">
        <v>0</v>
      </c>
      <c r="S133" s="4">
        <f>+$K$23*$B$121*$G$21/100</f>
        <v>304.81919999999997</v>
      </c>
      <c r="T133" s="35">
        <v>0</v>
      </c>
      <c r="U133" s="34">
        <f t="shared" si="5"/>
        <v>3026.4192</v>
      </c>
    </row>
    <row r="135" spans="4:16" ht="12.75">
      <c r="D135" s="10" t="s">
        <v>91</v>
      </c>
      <c r="E135" s="10"/>
      <c r="O135" s="10" t="s">
        <v>92</v>
      </c>
      <c r="P135" s="10"/>
    </row>
    <row r="136" spans="1:13" ht="12.75">
      <c r="A136" t="s">
        <v>78</v>
      </c>
      <c r="B136">
        <f>+$F$11+60</f>
        <v>100</v>
      </c>
      <c r="L136" t="s">
        <v>78</v>
      </c>
      <c r="M136">
        <f>+$B$136</f>
        <v>100</v>
      </c>
    </row>
    <row r="137" spans="1:20" ht="12.75">
      <c r="A137" t="s">
        <v>79</v>
      </c>
      <c r="B137">
        <v>6</v>
      </c>
      <c r="E137" s="8" t="s">
        <v>85</v>
      </c>
      <c r="G137" t="s">
        <v>73</v>
      </c>
      <c r="I137" s="8" t="s">
        <v>86</v>
      </c>
      <c r="L137" t="s">
        <v>79</v>
      </c>
      <c r="M137">
        <v>12</v>
      </c>
      <c r="P137" s="9" t="s">
        <v>83</v>
      </c>
      <c r="R137" t="s">
        <v>73</v>
      </c>
      <c r="T137" s="8" t="s">
        <v>84</v>
      </c>
    </row>
    <row r="138" spans="4:21" ht="12.75">
      <c r="D138" t="s">
        <v>72</v>
      </c>
      <c r="E138" t="s">
        <v>74</v>
      </c>
      <c r="F138" t="s">
        <v>75</v>
      </c>
      <c r="G138" t="s">
        <v>76</v>
      </c>
      <c r="H138" t="s">
        <v>77</v>
      </c>
      <c r="J138" t="s">
        <v>80</v>
      </c>
      <c r="O138" t="s">
        <v>72</v>
      </c>
      <c r="P138" t="s">
        <v>74</v>
      </c>
      <c r="Q138" t="s">
        <v>75</v>
      </c>
      <c r="R138" t="s">
        <v>76</v>
      </c>
      <c r="S138" t="s">
        <v>77</v>
      </c>
      <c r="U138" t="s">
        <v>80</v>
      </c>
    </row>
    <row r="139" spans="4:20" ht="12.75">
      <c r="D139" t="s">
        <v>58</v>
      </c>
      <c r="I139" t="s">
        <v>98</v>
      </c>
      <c r="O139" t="s">
        <v>58</v>
      </c>
      <c r="T139" t="s">
        <v>98</v>
      </c>
    </row>
    <row r="140" spans="4:20" ht="12.75">
      <c r="D140" t="s">
        <v>71</v>
      </c>
      <c r="I140" t="s">
        <v>99</v>
      </c>
      <c r="O140" t="s">
        <v>71</v>
      </c>
      <c r="T140" t="s">
        <v>99</v>
      </c>
    </row>
    <row r="142" spans="1:12" ht="12.75">
      <c r="A142" t="s">
        <v>26</v>
      </c>
      <c r="L142" t="s">
        <v>26</v>
      </c>
    </row>
    <row r="143" spans="1:21" ht="12.75">
      <c r="A143" t="s">
        <v>11</v>
      </c>
      <c r="D143" s="37">
        <v>0</v>
      </c>
      <c r="E143" s="36">
        <v>0</v>
      </c>
      <c r="F143" s="35">
        <v>0</v>
      </c>
      <c r="G143" s="36">
        <v>0</v>
      </c>
      <c r="H143" s="4">
        <f>+$K$23*$B$136*$F$16/100</f>
        <v>1809.864</v>
      </c>
      <c r="I143" s="35">
        <v>0</v>
      </c>
      <c r="J143" s="34">
        <f aca="true" t="shared" si="6" ref="J143:J148">SUM(E143:I143)</f>
        <v>1809.864</v>
      </c>
      <c r="L143" t="s">
        <v>11</v>
      </c>
      <c r="O143" s="37">
        <v>0</v>
      </c>
      <c r="P143" s="36">
        <v>0</v>
      </c>
      <c r="Q143" s="35">
        <v>0</v>
      </c>
      <c r="R143" s="36">
        <v>0</v>
      </c>
      <c r="S143" s="4">
        <f>+$K$23*$B$136*$G$16/100</f>
        <v>2476.656</v>
      </c>
      <c r="T143" s="35">
        <v>0</v>
      </c>
      <c r="U143" s="34">
        <f aca="true" t="shared" si="7" ref="U143:U148">SUM(P143:T143)</f>
        <v>2476.656</v>
      </c>
    </row>
    <row r="144" spans="1:21" ht="12.75">
      <c r="A144" t="s">
        <v>12</v>
      </c>
      <c r="D144" s="6">
        <f>+$F$46</f>
        <v>1890</v>
      </c>
      <c r="E144" s="35">
        <v>0</v>
      </c>
      <c r="F144" s="6">
        <f>+$J$84</f>
        <v>236.25</v>
      </c>
      <c r="G144" s="35">
        <v>0</v>
      </c>
      <c r="H144" s="4">
        <f>+$K$23*$B$136*$F$17/100</f>
        <v>1524.096</v>
      </c>
      <c r="I144" s="35">
        <v>0</v>
      </c>
      <c r="J144" s="34">
        <f t="shared" si="6"/>
        <v>1760.346</v>
      </c>
      <c r="L144" t="s">
        <v>12</v>
      </c>
      <c r="O144" s="6">
        <f>+$F$46</f>
        <v>1890</v>
      </c>
      <c r="P144" s="35">
        <v>0</v>
      </c>
      <c r="Q144" s="6">
        <f>+$J$84</f>
        <v>236.25</v>
      </c>
      <c r="R144" s="35">
        <v>0</v>
      </c>
      <c r="S144" s="4">
        <f>+$K$23*$B$136*$G$17/100</f>
        <v>1905.12</v>
      </c>
      <c r="T144" s="35">
        <v>0</v>
      </c>
      <c r="U144" s="34">
        <f t="shared" si="7"/>
        <v>2141.37</v>
      </c>
    </row>
    <row r="145" spans="1:21" ht="12.75">
      <c r="A145" t="s">
        <v>13</v>
      </c>
      <c r="D145" s="6">
        <f>+$F$46+$F$59</f>
        <v>3118.5</v>
      </c>
      <c r="E145">
        <f>+$F$61+$F$63</f>
        <v>415.79999999999995</v>
      </c>
      <c r="F145" s="6">
        <f>+$J$84+$J$86</f>
        <v>473.175</v>
      </c>
      <c r="G145" s="35">
        <v>0</v>
      </c>
      <c r="H145" s="4">
        <f>+$K$23*$B$136*$F$18/100</f>
        <v>1428.84</v>
      </c>
      <c r="I145">
        <f>+$F$66</f>
        <v>956.3400000000001</v>
      </c>
      <c r="J145" s="34">
        <f t="shared" si="6"/>
        <v>3274.1549999999997</v>
      </c>
      <c r="L145" t="s">
        <v>13</v>
      </c>
      <c r="O145" s="6">
        <f>+$F$46+$F$59</f>
        <v>3118.5</v>
      </c>
      <c r="P145">
        <f>+$F$61+$F$63</f>
        <v>415.79999999999995</v>
      </c>
      <c r="Q145" s="6">
        <f>+$J$84+$J$86</f>
        <v>473.175</v>
      </c>
      <c r="R145" s="35">
        <v>0</v>
      </c>
      <c r="S145" s="4">
        <f>+$K$23*$B$136*$G$18/100</f>
        <v>1619.352</v>
      </c>
      <c r="T145">
        <f>+$F$66</f>
        <v>956.3400000000001</v>
      </c>
      <c r="U145" s="34">
        <f t="shared" si="7"/>
        <v>3464.6670000000004</v>
      </c>
    </row>
    <row r="146" spans="1:21" ht="12.75">
      <c r="A146" t="s">
        <v>118</v>
      </c>
      <c r="D146" s="6">
        <f>+$F$46+$F$57</f>
        <v>2551.5</v>
      </c>
      <c r="E146" s="6">
        <f>+$F$51+$F$53</f>
        <v>105</v>
      </c>
      <c r="F146" s="6">
        <f>+$J$84</f>
        <v>236.25</v>
      </c>
      <c r="G146" s="6">
        <f>+$J$85</f>
        <v>158.76</v>
      </c>
      <c r="H146" s="4">
        <f>+$K$23*$B$136*$F$19/100</f>
        <v>762.048</v>
      </c>
      <c r="I146" s="35">
        <v>0</v>
      </c>
      <c r="J146" s="34">
        <f t="shared" si="6"/>
        <v>1262.058</v>
      </c>
      <c r="L146" t="s">
        <v>118</v>
      </c>
      <c r="O146" s="6">
        <f>+$F$46+$F$57</f>
        <v>2551.5</v>
      </c>
      <c r="P146" s="6">
        <f>+$F$51+$F$53</f>
        <v>105</v>
      </c>
      <c r="Q146" s="6">
        <f>+$J$84</f>
        <v>236.25</v>
      </c>
      <c r="R146" s="6">
        <f>+$J$85</f>
        <v>158.76</v>
      </c>
      <c r="S146" s="4">
        <f>+$K$23*$B$136*$G$19/100</f>
        <v>952.56</v>
      </c>
      <c r="T146" s="35">
        <v>0</v>
      </c>
      <c r="U146" s="34">
        <f t="shared" si="7"/>
        <v>1452.57</v>
      </c>
    </row>
    <row r="147" spans="1:21" ht="12.75">
      <c r="A147" t="s">
        <v>14</v>
      </c>
      <c r="D147" s="6">
        <f>+$F$46+$F$57+$F$59</f>
        <v>3780</v>
      </c>
      <c r="E147">
        <f>+$F$61+$F$63+$F$51+$F$53</f>
        <v>520.8</v>
      </c>
      <c r="F147" s="6">
        <f>+$J$84+$J$86</f>
        <v>473.175</v>
      </c>
      <c r="G147" s="6">
        <f>+$J$85</f>
        <v>158.76</v>
      </c>
      <c r="H147" s="4">
        <f>+$K$23*$B$136*$F$20/100</f>
        <v>571.5360000000001</v>
      </c>
      <c r="I147">
        <f>+$F$66</f>
        <v>956.3400000000001</v>
      </c>
      <c r="J147" s="34">
        <f t="shared" si="6"/>
        <v>2680.611</v>
      </c>
      <c r="L147" t="s">
        <v>14</v>
      </c>
      <c r="O147" s="6">
        <f>+$F$46+$F$57+$F$59</f>
        <v>3780</v>
      </c>
      <c r="P147">
        <f>+$F$61+$F$63+$F$51+$F$53</f>
        <v>520.8</v>
      </c>
      <c r="Q147" s="6">
        <f>+$J$84+$J$86</f>
        <v>473.175</v>
      </c>
      <c r="R147" s="6">
        <f>+$J$85</f>
        <v>158.76</v>
      </c>
      <c r="S147" s="4">
        <f>+$K$23*$B$136*$G$20/100</f>
        <v>762.048</v>
      </c>
      <c r="T147">
        <f>+$F$66</f>
        <v>956.3400000000001</v>
      </c>
      <c r="U147" s="34">
        <f t="shared" si="7"/>
        <v>2871.123</v>
      </c>
    </row>
    <row r="148" spans="1:21" ht="12.75">
      <c r="A148" t="s">
        <v>15</v>
      </c>
      <c r="D148" s="6">
        <f>+$F$33</f>
        <v>22680</v>
      </c>
      <c r="E148" s="35">
        <v>0</v>
      </c>
      <c r="F148" s="6">
        <f>+$J$83</f>
        <v>2721.6</v>
      </c>
      <c r="G148" s="35">
        <v>0</v>
      </c>
      <c r="H148" s="4">
        <f>+$K$23*$B$136*$F$21/100</f>
        <v>381.024</v>
      </c>
      <c r="I148" s="35">
        <v>0</v>
      </c>
      <c r="J148" s="34">
        <f t="shared" si="6"/>
        <v>3102.624</v>
      </c>
      <c r="L148" t="s">
        <v>15</v>
      </c>
      <c r="O148" s="6">
        <f>+$F$33</f>
        <v>22680</v>
      </c>
      <c r="P148" s="35">
        <v>0</v>
      </c>
      <c r="Q148" s="6">
        <f>+$J$83</f>
        <v>2721.6</v>
      </c>
      <c r="R148" s="35">
        <v>0</v>
      </c>
      <c r="S148" s="4">
        <f>+$K$23*$B$136*$G$21/100</f>
        <v>381.024</v>
      </c>
      <c r="T148" s="35">
        <v>0</v>
      </c>
      <c r="U148" s="34">
        <f t="shared" si="7"/>
        <v>3102.624</v>
      </c>
    </row>
    <row r="149" ht="12.75">
      <c r="S149" s="4"/>
    </row>
    <row r="153" spans="1:6" ht="12.75">
      <c r="A153" t="s">
        <v>93</v>
      </c>
      <c r="F153" t="s">
        <v>107</v>
      </c>
    </row>
    <row r="154" spans="1:10" ht="12.75">
      <c r="A154" t="s">
        <v>94</v>
      </c>
      <c r="C154">
        <v>6</v>
      </c>
      <c r="D154">
        <v>12</v>
      </c>
      <c r="E154">
        <v>6</v>
      </c>
      <c r="F154">
        <v>12</v>
      </c>
      <c r="G154">
        <v>6</v>
      </c>
      <c r="H154">
        <v>12</v>
      </c>
      <c r="I154">
        <v>6</v>
      </c>
      <c r="J154">
        <v>12</v>
      </c>
    </row>
    <row r="155" spans="1:10" ht="12.75">
      <c r="A155" t="s">
        <v>78</v>
      </c>
      <c r="C155">
        <f>+B89</f>
        <v>40</v>
      </c>
      <c r="D155">
        <f>+B89</f>
        <v>40</v>
      </c>
      <c r="E155">
        <f>+B105</f>
        <v>60</v>
      </c>
      <c r="F155">
        <f>+B105</f>
        <v>60</v>
      </c>
      <c r="G155">
        <f>+B121</f>
        <v>80</v>
      </c>
      <c r="H155">
        <f>+B121</f>
        <v>80</v>
      </c>
      <c r="I155">
        <f>+B136</f>
        <v>100</v>
      </c>
      <c r="J155">
        <f>+B136</f>
        <v>100</v>
      </c>
    </row>
    <row r="157" ht="12.75">
      <c r="A157" t="s">
        <v>26</v>
      </c>
    </row>
    <row r="158" spans="1:10" ht="12.75">
      <c r="A158" t="s">
        <v>11</v>
      </c>
      <c r="C158" s="7">
        <f aca="true" t="shared" si="8" ref="C158:C163">+J96</f>
        <v>723.9456</v>
      </c>
      <c r="D158" s="7">
        <f aca="true" t="shared" si="9" ref="D158:D163">+U96</f>
        <v>990.6623999999999</v>
      </c>
      <c r="E158" s="7">
        <f aca="true" t="shared" si="10" ref="E158:E163">+J112</f>
        <v>1085.9184</v>
      </c>
      <c r="F158" s="7">
        <f aca="true" t="shared" si="11" ref="F158:F163">+U112</f>
        <v>1485.9935999999998</v>
      </c>
      <c r="G158" s="7">
        <f aca="true" t="shared" si="12" ref="G158:G163">+J128</f>
        <v>1447.8912</v>
      </c>
      <c r="H158" s="7">
        <f aca="true" t="shared" si="13" ref="H158:H163">+U128</f>
        <v>1981.3247999999999</v>
      </c>
      <c r="I158" s="7">
        <f aca="true" t="shared" si="14" ref="I158:I163">+J143</f>
        <v>1809.864</v>
      </c>
      <c r="J158" s="7">
        <f aca="true" t="shared" si="15" ref="J158:J163">+U143</f>
        <v>2476.656</v>
      </c>
    </row>
    <row r="159" spans="1:10" ht="12.75">
      <c r="A159" t="s">
        <v>12</v>
      </c>
      <c r="C159" s="7">
        <f t="shared" si="8"/>
        <v>845.8883999999999</v>
      </c>
      <c r="D159" s="7">
        <f t="shared" si="9"/>
        <v>998.2979999999999</v>
      </c>
      <c r="E159" s="7">
        <f t="shared" si="10"/>
        <v>1150.7076</v>
      </c>
      <c r="F159" s="7">
        <f t="shared" si="11"/>
        <v>1379.322</v>
      </c>
      <c r="G159" s="7">
        <f t="shared" si="12"/>
        <v>1455.5267999999999</v>
      </c>
      <c r="H159" s="7">
        <f t="shared" si="13"/>
        <v>1760.3459999999998</v>
      </c>
      <c r="I159" s="7">
        <f t="shared" si="14"/>
        <v>1760.346</v>
      </c>
      <c r="J159" s="7">
        <f t="shared" si="15"/>
        <v>2141.37</v>
      </c>
    </row>
    <row r="160" spans="1:10" ht="12.75">
      <c r="A160" t="s">
        <v>13</v>
      </c>
      <c r="C160" s="7">
        <f t="shared" si="8"/>
        <v>2416.851</v>
      </c>
      <c r="D160" s="7">
        <f t="shared" si="9"/>
        <v>2493.0558</v>
      </c>
      <c r="E160" s="7">
        <f t="shared" si="10"/>
        <v>2702.619</v>
      </c>
      <c r="F160" s="7">
        <f t="shared" si="11"/>
        <v>2816.9262</v>
      </c>
      <c r="G160" s="7">
        <f t="shared" si="12"/>
        <v>2988.3869999999997</v>
      </c>
      <c r="H160" s="7">
        <f t="shared" si="13"/>
        <v>3140.7965999999997</v>
      </c>
      <c r="I160" s="7">
        <f t="shared" si="14"/>
        <v>3274.1549999999997</v>
      </c>
      <c r="J160" s="7">
        <f t="shared" si="15"/>
        <v>3464.6670000000004</v>
      </c>
    </row>
    <row r="161" spans="1:10" ht="12.75">
      <c r="A161" t="s">
        <v>118</v>
      </c>
      <c r="C161" s="7">
        <f t="shared" si="8"/>
        <v>804.8291999999999</v>
      </c>
      <c r="D161" s="7">
        <f t="shared" si="9"/>
        <v>881.0339999999999</v>
      </c>
      <c r="E161" s="7">
        <f t="shared" si="10"/>
        <v>957.2388</v>
      </c>
      <c r="F161" s="7">
        <f t="shared" si="11"/>
        <v>1071.5459999999998</v>
      </c>
      <c r="G161" s="7">
        <f t="shared" si="12"/>
        <v>1109.6484</v>
      </c>
      <c r="H161" s="7">
        <f t="shared" si="13"/>
        <v>1262.058</v>
      </c>
      <c r="I161" s="7">
        <f t="shared" si="14"/>
        <v>1262.058</v>
      </c>
      <c r="J161" s="7">
        <f t="shared" si="15"/>
        <v>1452.57</v>
      </c>
    </row>
    <row r="162" spans="1:10" ht="12.75">
      <c r="A162" t="s">
        <v>14</v>
      </c>
      <c r="C162" s="7">
        <f t="shared" si="8"/>
        <v>2337.6894</v>
      </c>
      <c r="D162" s="7">
        <f t="shared" si="9"/>
        <v>2413.8941999999997</v>
      </c>
      <c r="E162" s="7">
        <f t="shared" si="10"/>
        <v>2451.9966</v>
      </c>
      <c r="F162" s="7">
        <f t="shared" si="11"/>
        <v>2566.3038</v>
      </c>
      <c r="G162" s="7">
        <f t="shared" si="12"/>
        <v>2566.3038</v>
      </c>
      <c r="H162" s="7">
        <f t="shared" si="13"/>
        <v>2718.7134</v>
      </c>
      <c r="I162" s="7">
        <f t="shared" si="14"/>
        <v>2680.611</v>
      </c>
      <c r="J162" s="7">
        <f t="shared" si="15"/>
        <v>2871.123</v>
      </c>
    </row>
    <row r="163" spans="1:10" ht="12.75">
      <c r="A163" t="s">
        <v>15</v>
      </c>
      <c r="C163" s="7">
        <f t="shared" si="8"/>
        <v>2874.0096</v>
      </c>
      <c r="D163" s="7">
        <f t="shared" si="9"/>
        <v>2874.0096</v>
      </c>
      <c r="E163" s="7">
        <f t="shared" si="10"/>
        <v>2950.2144</v>
      </c>
      <c r="F163" s="7">
        <f t="shared" si="11"/>
        <v>2950.2144</v>
      </c>
      <c r="G163" s="7">
        <f t="shared" si="12"/>
        <v>3026.4192</v>
      </c>
      <c r="H163" s="7">
        <f t="shared" si="13"/>
        <v>3026.4192</v>
      </c>
      <c r="I163" s="7">
        <f t="shared" si="14"/>
        <v>3102.624</v>
      </c>
      <c r="J163" s="7">
        <f t="shared" si="15"/>
        <v>3102.624</v>
      </c>
    </row>
    <row r="164" ht="12.75">
      <c r="A164" t="s">
        <v>95</v>
      </c>
    </row>
    <row r="165" ht="12.75">
      <c r="A165">
        <f>+B89</f>
        <v>40</v>
      </c>
    </row>
    <row r="166" ht="12.75">
      <c r="A166">
        <f>+B105</f>
        <v>60</v>
      </c>
    </row>
    <row r="167" ht="12.75">
      <c r="A167">
        <f>+B121</f>
        <v>80</v>
      </c>
    </row>
    <row r="168" ht="12.75">
      <c r="A168">
        <f>+B136</f>
        <v>100</v>
      </c>
    </row>
  </sheetData>
  <sheetProtection sheet="1" objects="1" scenarios="1"/>
  <hyperlinks>
    <hyperlink ref="A7" r:id="rId1" display="bjholmes@wisc.edu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Holmes</dc:creator>
  <cp:keywords/>
  <dc:description/>
  <cp:lastModifiedBy>Reviewer</cp:lastModifiedBy>
  <dcterms:created xsi:type="dcterms:W3CDTF">2004-01-17T21:13:26Z</dcterms:created>
  <dcterms:modified xsi:type="dcterms:W3CDTF">2011-03-23T14:58:01Z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