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Budget" sheetId="1" r:id="rId1"/>
    <sheet name="Analyses" sheetId="2" r:id="rId2"/>
    <sheet name="Machinery Expenses" sheetId="3" r:id="rId3"/>
  </sheets>
  <definedNames>
    <definedName name="_xlnm.Print_Area" localSheetId="0">'Budget'!$A$1:$K$123</definedName>
  </definedNames>
  <calcPr fullCalcOnLoad="1"/>
</workbook>
</file>

<file path=xl/sharedStrings.xml><?xml version="1.0" encoding="utf-8"?>
<sst xmlns="http://schemas.openxmlformats.org/spreadsheetml/2006/main" count="264" uniqueCount="117">
  <si>
    <t>($)</t>
  </si>
  <si>
    <t>lb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</si>
  <si>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</si>
  <si>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</si>
  <si>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</si>
  <si>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</si>
  <si>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</si>
  <si>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</si>
  <si>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</si>
  <si>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</si>
  <si>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</si>
  <si>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</si>
  <si>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</si>
  <si>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>Total Costs</t>
  </si>
  <si>
    <t>Total</t>
  </si>
  <si>
    <t xml:space="preserve">   Electricity</t>
  </si>
  <si>
    <t xml:space="preserve">   Engine Lubrication</t>
  </si>
  <si>
    <t xml:space="preserve">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</si>
  <si>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</si>
  <si>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</si>
  <si>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</si>
  <si>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</si>
  <si>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</si>
  <si>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</si>
  <si>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</si>
  <si>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</si>
  <si>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</si>
  <si>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</si>
  <si>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</si>
  <si>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Tractor 075 HP</t>
  </si>
  <si>
    <t>Engine Lubrication</t>
  </si>
  <si>
    <t>Totals</t>
  </si>
  <si>
    <t>University of Wisconsin Center for Dairy Profitability</t>
  </si>
  <si>
    <t>Operating Costs</t>
  </si>
  <si>
    <t>Input Expenses</t>
  </si>
  <si>
    <t>Fertility</t>
  </si>
  <si>
    <t>Phosphorus 0-46-0</t>
  </si>
  <si>
    <t>Seed Plants</t>
  </si>
  <si>
    <t>Miscellaneous</t>
  </si>
  <si>
    <t>Pest Scouting</t>
  </si>
  <si>
    <t>Weed Control</t>
  </si>
  <si>
    <t>gal</t>
  </si>
  <si>
    <t xml:space="preserve">   Diesel Fuel</t>
  </si>
  <si>
    <t xml:space="preserve">   Gasoline</t>
  </si>
  <si>
    <t>Energy Expenses</t>
  </si>
  <si>
    <t>KW hr</t>
  </si>
  <si>
    <t>Repairs and Maintenance</t>
  </si>
  <si>
    <t xml:space="preserve">   Power Units</t>
  </si>
  <si>
    <t xml:space="preserve">   Implements</t>
  </si>
  <si>
    <t xml:space="preserve">   Durables</t>
  </si>
  <si>
    <t>% of Income</t>
  </si>
  <si>
    <t>Interest and Insurance Expenses</t>
  </si>
  <si>
    <t>Depreciation Expenses</t>
  </si>
  <si>
    <t xml:space="preserve">Annual machinery expenses </t>
  </si>
  <si>
    <t>Example Farm</t>
  </si>
  <si>
    <t>Your Farm</t>
  </si>
  <si>
    <t>Products</t>
  </si>
  <si>
    <t>Potassium 0-0-60</t>
  </si>
  <si>
    <t>Alfalfa</t>
  </si>
  <si>
    <t>Lime</t>
  </si>
  <si>
    <t>ton</t>
  </si>
  <si>
    <t>Alfalfa Seed</t>
  </si>
  <si>
    <t>Oatlage</t>
  </si>
  <si>
    <t>Urea 46-0-0</t>
  </si>
  <si>
    <t>Oat Seed</t>
  </si>
  <si>
    <t>bu</t>
  </si>
  <si>
    <t>None</t>
  </si>
  <si>
    <t>Enter your farm values in the blue boxes.</t>
  </si>
  <si>
    <t>lbs of product</t>
  </si>
  <si>
    <t xml:space="preserve">  operations needed to till, plant, and harvest the alfalfa crop.   In place of these values, one can use the cumulative value per acre from the </t>
  </si>
  <si>
    <t>Insect Control</t>
  </si>
  <si>
    <t>Land ownership costs</t>
  </si>
  <si>
    <t>Drill, double disk 10 ft</t>
  </si>
  <si>
    <t>Tractor 060 HP</t>
  </si>
  <si>
    <t>Blower, forage</t>
  </si>
  <si>
    <t>Tractor 160 HP MFWD</t>
  </si>
  <si>
    <t>Disk, tandem 21 ft</t>
  </si>
  <si>
    <t xml:space="preserve">Tractor 100 HP </t>
  </si>
  <si>
    <t>tons dry matter</t>
  </si>
  <si>
    <t>(Enter % in I73)</t>
  </si>
  <si>
    <t>Risk Analyses</t>
  </si>
  <si>
    <t xml:space="preserve">     (Value of Production less Total Costs as Price and Yield Vary)</t>
  </si>
  <si>
    <t>+10%</t>
  </si>
  <si>
    <t>+20%</t>
  </si>
  <si>
    <t xml:space="preserve">     Yield</t>
  </si>
  <si>
    <t>Sensitvity Analysis</t>
  </si>
  <si>
    <t xml:space="preserve">                (Break-Even Yields as Price and Total Costs Vary)</t>
  </si>
  <si>
    <t xml:space="preserve">Tractor 200 HP MFWD </t>
  </si>
  <si>
    <t>Plow, Disc-chisel 16.3 ft</t>
  </si>
  <si>
    <t xml:space="preserve">Management charge </t>
  </si>
  <si>
    <t>Custom fertilizer spreading</t>
  </si>
  <si>
    <t>Total Operating Costs per Acre</t>
  </si>
  <si>
    <t>Total Operating Costs per Ton (Alfalfa)</t>
  </si>
  <si>
    <t>Phosphorus 18-46-0</t>
  </si>
  <si>
    <t>Total Fixed Expenses per Acre</t>
  </si>
  <si>
    <t>Total Costs per Acre</t>
  </si>
  <si>
    <t>Return to Land and Operator per Acre</t>
  </si>
  <si>
    <t>Return to Operator per Acre</t>
  </si>
  <si>
    <t>Total Cost per Ton</t>
  </si>
  <si>
    <t>$ per ton</t>
  </si>
  <si>
    <r>
      <t>Custom Rate Charges</t>
    </r>
    <r>
      <rPr>
        <vertAlign val="superscript"/>
        <sz val="10"/>
        <rFont val="Arial"/>
        <family val="2"/>
      </rPr>
      <t>1</t>
    </r>
  </si>
  <si>
    <r>
      <t>1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 for many of the field</t>
    </r>
  </si>
  <si>
    <t>Management charge (enter % of income in I86)</t>
  </si>
  <si>
    <t>Crop insurance</t>
  </si>
  <si>
    <t>Rotary mower conditioner 13 ft</t>
  </si>
  <si>
    <t>Forage harvester, pull type</t>
  </si>
  <si>
    <t>Forage wagon 18 ft</t>
  </si>
  <si>
    <t>Hauling</t>
  </si>
  <si>
    <t xml:space="preserve">  Wisconsin's 2010 Custom Rate Guide.  </t>
  </si>
  <si>
    <t xml:space="preserve">Tractor 75 HP </t>
  </si>
  <si>
    <t>Tractor 75 HP</t>
  </si>
  <si>
    <t>Dollar Plan - Alflafa 70%</t>
  </si>
  <si>
    <t xml:space="preserve">   Diesel Fuel (with WI tax credit)</t>
  </si>
  <si>
    <t xml:space="preserve">   Gasoline (with WI tax credit)</t>
  </si>
  <si>
    <t>This budget was developed with the Cost Accounting and Planning (CAP) software , version 2011.9.</t>
  </si>
  <si>
    <t>Oatlage-Alfalfa Establishment Budget for Wisconsin in 2014</t>
  </si>
  <si>
    <t>Developed by Ken Barnett, March 2014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</si>
</sst>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##0;###0"/>
    <numFmt numFmtId="170" formatCode="###0.00;###0.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medium"/>
    </border>
    <border>
      <left style="thick"/>
      <right/>
      <top/>
      <bottom style="medium"/>
    </border>
    <border>
      <left/>
      <right style="thick"/>
      <top/>
      <bottom style="medium"/>
    </border>
    <border>
      <left style="thick"/>
      <right style="hair"/>
      <top style="hair"/>
      <bottom style="hair"/>
    </border>
    <border>
      <left style="hair"/>
      <right/>
      <top/>
      <bottom/>
    </border>
    <border>
      <left style="thick"/>
      <right style="thick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7" fillId="0" borderId="0" xfId="52" applyFont="1" applyAlignment="1" applyProtection="1">
      <alignment/>
      <protection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10" fillId="33" borderId="0" xfId="0" applyFont="1" applyFill="1" applyAlignment="1">
      <alignment/>
    </xf>
    <xf numFmtId="0" fontId="10" fillId="34" borderId="0" xfId="0" applyFont="1" applyFill="1" applyAlignment="1" quotePrefix="1">
      <alignment horizontal="left"/>
    </xf>
    <xf numFmtId="0" fontId="0" fillId="34" borderId="0" xfId="0" applyFill="1" applyAlignment="1">
      <alignment horizontal="center"/>
    </xf>
    <xf numFmtId="2" fontId="0" fillId="34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34" borderId="16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17" xfId="0" applyNumberFormat="1" applyFill="1" applyBorder="1" applyAlignment="1" applyProtection="1">
      <alignment horizontal="center"/>
      <protection/>
    </xf>
    <xf numFmtId="10" fontId="0" fillId="34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11" fillId="0" borderId="0" xfId="0" applyFont="1" applyAlignment="1">
      <alignment/>
    </xf>
    <xf numFmtId="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right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9" fontId="2" fillId="0" borderId="0" xfId="0" applyNumberFormat="1" applyFont="1" applyAlignment="1">
      <alignment horizontal="right"/>
    </xf>
    <xf numFmtId="2" fontId="0" fillId="0" borderId="22" xfId="0" applyNumberFormat="1" applyBorder="1" applyAlignment="1">
      <alignment/>
    </xf>
    <xf numFmtId="8" fontId="0" fillId="0" borderId="23" xfId="0" applyNumberFormat="1" applyBorder="1" applyAlignment="1">
      <alignment horizontal="center"/>
    </xf>
    <xf numFmtId="8" fontId="0" fillId="0" borderId="24" xfId="0" applyNumberFormat="1" applyBorder="1" applyAlignment="1">
      <alignment horizontal="center"/>
    </xf>
    <xf numFmtId="8" fontId="0" fillId="0" borderId="25" xfId="0" applyNumberFormat="1" applyBorder="1" applyAlignment="1">
      <alignment horizontal="center"/>
    </xf>
    <xf numFmtId="8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/>
    </xf>
    <xf numFmtId="8" fontId="0" fillId="0" borderId="28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49" fontId="2" fillId="0" borderId="0" xfId="0" applyNumberFormat="1" applyFont="1" applyAlignment="1">
      <alignment horizontal="right"/>
    </xf>
    <xf numFmtId="2" fontId="0" fillId="0" borderId="30" xfId="0" applyNumberFormat="1" applyBorder="1" applyAlignment="1">
      <alignment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22" xfId="0" applyNumberFormat="1" applyBorder="1" applyAlignment="1">
      <alignment/>
    </xf>
    <xf numFmtId="2" fontId="0" fillId="0" borderId="37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/>
    </xf>
    <xf numFmtId="2" fontId="0" fillId="0" borderId="38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/>
    </xf>
    <xf numFmtId="2" fontId="0" fillId="0" borderId="39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8" fillId="0" borderId="0" xfId="52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0" fontId="2" fillId="0" borderId="0" xfId="0" applyFont="1" applyAlignment="1">
      <alignment horizontal="right"/>
    </xf>
    <xf numFmtId="10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0" xfId="0" applyFont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center"/>
      <protection/>
    </xf>
    <xf numFmtId="2" fontId="2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10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1895475</xdr:colOff>
      <xdr:row>3</xdr:row>
      <xdr:rowOff>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121</xdr:row>
      <xdr:rowOff>9525</xdr:rowOff>
    </xdr:from>
    <xdr:to>
      <xdr:col>6</xdr:col>
      <xdr:colOff>904875</xdr:colOff>
      <xdr:row>129</xdr:row>
      <xdr:rowOff>9525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198120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0</xdr:row>
      <xdr:rowOff>152400</xdr:rowOff>
    </xdr:from>
    <xdr:to>
      <xdr:col>10</xdr:col>
      <xdr:colOff>581025</xdr:colOff>
      <xdr:row>4</xdr:row>
      <xdr:rowOff>152400</xdr:rowOff>
    </xdr:to>
    <xdr:pic>
      <xdr:nvPicPr>
        <xdr:cNvPr id="3" name="Picture 6" descr="Team Forage logo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39450" y="152400"/>
          <a:ext cx="1504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362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39</xdr:row>
      <xdr:rowOff>95250</xdr:rowOff>
    </xdr:from>
    <xdr:to>
      <xdr:col>9</xdr:col>
      <xdr:colOff>714375</xdr:colOff>
      <xdr:row>47</xdr:row>
      <xdr:rowOff>95250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654367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609600</xdr:colOff>
      <xdr:row>0</xdr:row>
      <xdr:rowOff>142875</xdr:rowOff>
    </xdr:from>
    <xdr:to>
      <xdr:col>16</xdr:col>
      <xdr:colOff>57150</xdr:colOff>
      <xdr:row>3</xdr:row>
      <xdr:rowOff>133350</xdr:rowOff>
    </xdr:to>
    <xdr:pic>
      <xdr:nvPicPr>
        <xdr:cNvPr id="3" name="Picture 3" descr="Team Forage logo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63125" y="142875"/>
          <a:ext cx="1504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25</xdr:row>
      <xdr:rowOff>133350</xdr:rowOff>
    </xdr:from>
    <xdr:to>
      <xdr:col>5</xdr:col>
      <xdr:colOff>266700</xdr:colOff>
      <xdr:row>35</xdr:row>
      <xdr:rowOff>9525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4257675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0</xdr:row>
      <xdr:rowOff>133350</xdr:rowOff>
    </xdr:from>
    <xdr:to>
      <xdr:col>8</xdr:col>
      <xdr:colOff>542925</xdr:colOff>
      <xdr:row>4</xdr:row>
      <xdr:rowOff>133350</xdr:rowOff>
    </xdr:to>
    <xdr:pic>
      <xdr:nvPicPr>
        <xdr:cNvPr id="3" name="Picture 5" descr="Team Forage logo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0" y="133350"/>
          <a:ext cx="1504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120"/>
  <sheetViews>
    <sheetView tabSelected="1" zoomScale="75" zoomScaleNormal="75" zoomScalePageLayoutView="0" workbookViewId="0" topLeftCell="A1">
      <selection activeCell="R16" sqref="R16"/>
    </sheetView>
  </sheetViews>
  <sheetFormatPr defaultColWidth="9.140625" defaultRowHeight="12.75"/>
  <cols>
    <col min="1" max="1" width="41.140625" style="0" customWidth="1"/>
    <col min="2" max="2" width="17.57421875" style="2" customWidth="1"/>
    <col min="3" max="3" width="16.00390625" style="2" customWidth="1"/>
    <col min="4" max="5" width="11.421875" style="2" customWidth="1"/>
    <col min="6" max="6" width="3.140625" style="2" customWidth="1"/>
    <col min="7" max="7" width="42.7109375" style="0" customWidth="1"/>
    <col min="8" max="8" width="14.7109375" style="0" customWidth="1"/>
  </cols>
  <sheetData>
    <row r="7" spans="1:7" ht="18">
      <c r="A7" s="23" t="s">
        <v>115</v>
      </c>
      <c r="G7" s="1"/>
    </row>
    <row r="8" spans="1:7" ht="12.75">
      <c r="A8" s="1"/>
      <c r="G8" s="1"/>
    </row>
    <row r="9" spans="1:7" ht="12.75">
      <c r="A9" s="1"/>
      <c r="G9" s="1"/>
    </row>
    <row r="10" spans="1:7" ht="15.75">
      <c r="A10" s="25" t="s">
        <v>67</v>
      </c>
      <c r="B10" s="26"/>
      <c r="G10" s="11"/>
    </row>
    <row r="11" spans="1:7" ht="12.75">
      <c r="A11" s="11"/>
      <c r="G11" s="11"/>
    </row>
    <row r="12" spans="1:7" ht="15.75">
      <c r="A12" s="24" t="s">
        <v>54</v>
      </c>
      <c r="G12" s="24" t="s">
        <v>55</v>
      </c>
    </row>
    <row r="13" spans="1:7" ht="12.75">
      <c r="A13" s="11"/>
      <c r="G13" s="11"/>
    </row>
    <row r="14" spans="1:11" ht="12.75">
      <c r="A14" s="39"/>
      <c r="B14" s="43" t="s">
        <v>3</v>
      </c>
      <c r="C14" s="43" t="s">
        <v>4</v>
      </c>
      <c r="D14" s="43" t="s">
        <v>5</v>
      </c>
      <c r="E14" s="44" t="s">
        <v>6</v>
      </c>
      <c r="F14" s="22"/>
      <c r="G14" s="33"/>
      <c r="H14" s="12" t="s">
        <v>3</v>
      </c>
      <c r="I14" s="12" t="s">
        <v>4</v>
      </c>
      <c r="J14" s="12" t="s">
        <v>5</v>
      </c>
      <c r="K14" s="12" t="s">
        <v>6</v>
      </c>
    </row>
    <row r="15" spans="1:11" ht="13.5" thickBot="1">
      <c r="A15" s="40"/>
      <c r="B15" s="41"/>
      <c r="C15" s="41"/>
      <c r="D15" s="45" t="s">
        <v>0</v>
      </c>
      <c r="E15" s="46" t="s">
        <v>7</v>
      </c>
      <c r="F15" s="22"/>
      <c r="G15" s="42"/>
      <c r="H15" s="41"/>
      <c r="I15" s="41"/>
      <c r="J15" s="45" t="s">
        <v>0</v>
      </c>
      <c r="K15" s="45" t="s">
        <v>7</v>
      </c>
    </row>
    <row r="16" spans="5:11" ht="12.75">
      <c r="E16" s="31"/>
      <c r="F16" s="22"/>
      <c r="G16" s="33"/>
      <c r="H16" s="2"/>
      <c r="I16" s="2"/>
      <c r="J16" s="2"/>
      <c r="K16" s="2"/>
    </row>
    <row r="17" spans="1:11" ht="12.75">
      <c r="A17" s="9" t="s">
        <v>56</v>
      </c>
      <c r="E17" s="31"/>
      <c r="F17" s="22"/>
      <c r="G17" s="34" t="s">
        <v>56</v>
      </c>
      <c r="H17" s="2"/>
      <c r="I17" s="2"/>
      <c r="J17" s="2"/>
      <c r="K17" s="2"/>
    </row>
    <row r="18" spans="5:11" ht="12.75">
      <c r="E18" s="31"/>
      <c r="F18" s="22"/>
      <c r="G18" s="33"/>
      <c r="H18" s="2"/>
      <c r="I18" s="2"/>
      <c r="J18" s="2"/>
      <c r="K18" s="2"/>
    </row>
    <row r="19" spans="1:11" ht="12.75">
      <c r="A19" t="s">
        <v>58</v>
      </c>
      <c r="B19" s="2" t="s">
        <v>78</v>
      </c>
      <c r="C19" s="3">
        <v>1</v>
      </c>
      <c r="D19" s="3">
        <v>224.13</v>
      </c>
      <c r="E19" s="29">
        <f>(C19*D19)</f>
        <v>224.13</v>
      </c>
      <c r="F19" s="15"/>
      <c r="G19" s="33" t="s">
        <v>58</v>
      </c>
      <c r="H19" s="2" t="s">
        <v>78</v>
      </c>
      <c r="I19" s="27"/>
      <c r="J19" s="27"/>
      <c r="K19" s="3">
        <f>(I19*J19)</f>
        <v>0</v>
      </c>
    </row>
    <row r="20" spans="1:11" ht="12.75">
      <c r="A20" t="s">
        <v>62</v>
      </c>
      <c r="B20" s="2" t="s">
        <v>78</v>
      </c>
      <c r="C20" s="3">
        <v>2</v>
      </c>
      <c r="D20" s="20">
        <v>120.71</v>
      </c>
      <c r="E20" s="29">
        <f>(C20*D20)</f>
        <v>241.42</v>
      </c>
      <c r="F20" s="15"/>
      <c r="G20" s="33" t="s">
        <v>62</v>
      </c>
      <c r="H20" s="2" t="s">
        <v>78</v>
      </c>
      <c r="I20" s="27"/>
      <c r="J20" s="27"/>
      <c r="K20" s="3">
        <f>(I20*J20)</f>
        <v>0</v>
      </c>
    </row>
    <row r="21" spans="3:11" ht="12.75">
      <c r="C21" s="3"/>
      <c r="D21" s="3"/>
      <c r="E21" s="29"/>
      <c r="F21" s="15"/>
      <c r="G21" s="33"/>
      <c r="H21" s="2"/>
      <c r="I21" s="3"/>
      <c r="J21" s="3"/>
      <c r="K21" s="3"/>
    </row>
    <row r="22" spans="3:11" ht="12.75">
      <c r="C22" s="3"/>
      <c r="D22" s="4" t="s">
        <v>14</v>
      </c>
      <c r="E22" s="29">
        <f>SUM(E19:E20)</f>
        <v>465.54999999999995</v>
      </c>
      <c r="F22" s="15"/>
      <c r="G22" s="33"/>
      <c r="H22" s="2"/>
      <c r="I22" s="3"/>
      <c r="J22" s="4" t="s">
        <v>14</v>
      </c>
      <c r="K22" s="3">
        <f>SUM(K19:K20)</f>
        <v>0</v>
      </c>
    </row>
    <row r="23" spans="5:11" ht="12.75">
      <c r="E23" s="31"/>
      <c r="F23" s="22"/>
      <c r="G23" s="33"/>
      <c r="H23" s="2"/>
      <c r="I23" s="2"/>
      <c r="J23" s="2"/>
      <c r="K23" s="2"/>
    </row>
    <row r="24" spans="1:11" ht="12.75">
      <c r="A24" s="9" t="s">
        <v>33</v>
      </c>
      <c r="E24" s="31"/>
      <c r="F24" s="22"/>
      <c r="G24" s="34" t="s">
        <v>33</v>
      </c>
      <c r="H24" s="2"/>
      <c r="I24" s="2"/>
      <c r="J24" s="2"/>
      <c r="K24" s="2"/>
    </row>
    <row r="25" spans="1:11" ht="12.75">
      <c r="A25" s="9"/>
      <c r="E25" s="31"/>
      <c r="F25" s="22"/>
      <c r="G25" s="34"/>
      <c r="H25" s="2"/>
      <c r="I25" s="2"/>
      <c r="J25" s="2"/>
      <c r="K25" s="2"/>
    </row>
    <row r="26" spans="1:11" ht="12.75">
      <c r="A26" s="1" t="s">
        <v>34</v>
      </c>
      <c r="E26" s="31"/>
      <c r="F26" s="22"/>
      <c r="G26" s="35" t="s">
        <v>34</v>
      </c>
      <c r="H26" s="2"/>
      <c r="I26" s="2"/>
      <c r="J26" s="2"/>
      <c r="K26" s="2"/>
    </row>
    <row r="27" spans="1:11" ht="12.75">
      <c r="A27" s="1"/>
      <c r="E27" s="31"/>
      <c r="F27" s="22"/>
      <c r="G27" s="35"/>
      <c r="H27" s="2"/>
      <c r="I27" s="2"/>
      <c r="J27" s="2"/>
      <c r="K27" s="2"/>
    </row>
    <row r="28" spans="1:11" ht="12.75">
      <c r="A28" s="1"/>
      <c r="E28" s="31"/>
      <c r="F28" s="22"/>
      <c r="G28" s="35"/>
      <c r="H28" s="2"/>
      <c r="I28" s="2"/>
      <c r="J28" s="2"/>
      <c r="K28" s="2"/>
    </row>
    <row r="29" spans="1:11" ht="12.75">
      <c r="A29" s="5" t="s">
        <v>35</v>
      </c>
      <c r="C29" s="3"/>
      <c r="D29" s="3"/>
      <c r="E29" s="29"/>
      <c r="F29" s="15"/>
      <c r="G29" s="36" t="s">
        <v>35</v>
      </c>
      <c r="H29" s="2"/>
      <c r="I29" s="3"/>
      <c r="J29" s="3"/>
      <c r="K29" s="3"/>
    </row>
    <row r="30" spans="1:11" ht="12.75">
      <c r="A30" s="4" t="s">
        <v>59</v>
      </c>
      <c r="B30" s="2" t="s">
        <v>60</v>
      </c>
      <c r="C30" s="3">
        <v>1.5</v>
      </c>
      <c r="D30" s="3">
        <v>36</v>
      </c>
      <c r="E30" s="29">
        <f>(C30*D30)</f>
        <v>54</v>
      </c>
      <c r="F30" s="15"/>
      <c r="G30" s="30" t="s">
        <v>59</v>
      </c>
      <c r="H30" s="2" t="s">
        <v>60</v>
      </c>
      <c r="I30" s="27"/>
      <c r="J30" s="27"/>
      <c r="K30" s="15">
        <f>(I30*J30)</f>
        <v>0</v>
      </c>
    </row>
    <row r="31" spans="1:11" ht="12.75">
      <c r="A31" s="4" t="s">
        <v>63</v>
      </c>
      <c r="B31" s="47" t="s">
        <v>68</v>
      </c>
      <c r="C31" s="3">
        <v>0</v>
      </c>
      <c r="D31" s="3">
        <v>0.24</v>
      </c>
      <c r="E31" s="29">
        <f>(C31*D31)</f>
        <v>0</v>
      </c>
      <c r="F31" s="15"/>
      <c r="G31" s="30" t="s">
        <v>63</v>
      </c>
      <c r="H31" s="47" t="s">
        <v>68</v>
      </c>
      <c r="I31" s="27"/>
      <c r="J31" s="27"/>
      <c r="K31" s="15">
        <f>(I31*J31)</f>
        <v>0</v>
      </c>
    </row>
    <row r="32" spans="1:11" ht="12.75" customHeight="1">
      <c r="A32" s="4" t="s">
        <v>93</v>
      </c>
      <c r="B32" s="47" t="s">
        <v>68</v>
      </c>
      <c r="C32" s="3">
        <v>65</v>
      </c>
      <c r="D32" s="3">
        <v>0.27</v>
      </c>
      <c r="E32" s="29">
        <f>(C32*D32)</f>
        <v>17.55</v>
      </c>
      <c r="F32" s="15"/>
      <c r="G32" s="30" t="s">
        <v>36</v>
      </c>
      <c r="H32" s="47" t="s">
        <v>68</v>
      </c>
      <c r="I32" s="27"/>
      <c r="J32" s="27"/>
      <c r="K32" s="3">
        <f>(I32*J32)</f>
        <v>0</v>
      </c>
    </row>
    <row r="33" spans="1:11" ht="12.75" customHeight="1">
      <c r="A33" s="4" t="s">
        <v>57</v>
      </c>
      <c r="B33" s="47" t="s">
        <v>68</v>
      </c>
      <c r="C33" s="3">
        <v>200</v>
      </c>
      <c r="D33" s="3">
        <v>0.22</v>
      </c>
      <c r="E33" s="29">
        <f>(C33*D33)</f>
        <v>44</v>
      </c>
      <c r="F33" s="15"/>
      <c r="G33" s="30" t="s">
        <v>57</v>
      </c>
      <c r="H33" s="47" t="s">
        <v>68</v>
      </c>
      <c r="I33" s="27"/>
      <c r="J33" s="27"/>
      <c r="K33" s="15">
        <f>(I33*J33)</f>
        <v>0</v>
      </c>
    </row>
    <row r="34" spans="1:11" ht="12.75" customHeight="1">
      <c r="A34" s="4"/>
      <c r="B34" s="56"/>
      <c r="C34" s="3"/>
      <c r="D34" s="3"/>
      <c r="E34" s="29"/>
      <c r="F34" s="15"/>
      <c r="G34" s="49"/>
      <c r="H34" s="27"/>
      <c r="I34" s="27"/>
      <c r="J34" s="27"/>
      <c r="K34" s="15">
        <f>(I34*J34)</f>
        <v>0</v>
      </c>
    </row>
    <row r="35" spans="1:11" ht="12.75" customHeight="1">
      <c r="A35" s="4"/>
      <c r="B35" s="56"/>
      <c r="C35" s="3"/>
      <c r="D35" s="3"/>
      <c r="E35" s="29"/>
      <c r="F35" s="15"/>
      <c r="G35" s="50"/>
      <c r="H35" s="48"/>
      <c r="I35" s="48"/>
      <c r="J35" s="48"/>
      <c r="K35" s="15"/>
    </row>
    <row r="36" spans="1:11" ht="12.75">
      <c r="A36" s="5" t="s">
        <v>37</v>
      </c>
      <c r="C36" s="3"/>
      <c r="D36" s="3"/>
      <c r="E36" s="29"/>
      <c r="F36" s="15"/>
      <c r="G36" s="36" t="s">
        <v>37</v>
      </c>
      <c r="H36" s="2"/>
      <c r="I36" s="3"/>
      <c r="J36" s="3"/>
      <c r="K36" s="3"/>
    </row>
    <row r="37" spans="1:11" ht="12.75">
      <c r="A37" s="4" t="s">
        <v>61</v>
      </c>
      <c r="B37" s="2" t="s">
        <v>1</v>
      </c>
      <c r="C37" s="3">
        <v>12</v>
      </c>
      <c r="D37" s="3">
        <v>5.49</v>
      </c>
      <c r="E37" s="29">
        <f>(C37*D37)</f>
        <v>65.88</v>
      </c>
      <c r="F37" s="15"/>
      <c r="G37" s="30" t="s">
        <v>61</v>
      </c>
      <c r="H37" s="2" t="s">
        <v>1</v>
      </c>
      <c r="I37" s="27"/>
      <c r="J37" s="27"/>
      <c r="K37" s="3">
        <f>(I37*J37)</f>
        <v>0</v>
      </c>
    </row>
    <row r="38" spans="1:11" ht="12.75">
      <c r="A38" s="4" t="s">
        <v>64</v>
      </c>
      <c r="B38" s="2" t="s">
        <v>65</v>
      </c>
      <c r="C38" s="3">
        <v>1.5</v>
      </c>
      <c r="D38" s="3">
        <v>17</v>
      </c>
      <c r="E38" s="29">
        <f>(C38*D38)</f>
        <v>25.5</v>
      </c>
      <c r="F38" s="15"/>
      <c r="G38" s="30" t="s">
        <v>64</v>
      </c>
      <c r="H38" s="2" t="s">
        <v>65</v>
      </c>
      <c r="I38" s="27"/>
      <c r="J38" s="27"/>
      <c r="K38" s="3">
        <f>(I38*J38)</f>
        <v>0</v>
      </c>
    </row>
    <row r="39" spans="1:11" ht="12.75">
      <c r="A39" s="4"/>
      <c r="C39" s="3"/>
      <c r="D39" s="3"/>
      <c r="E39" s="29"/>
      <c r="F39" s="15"/>
      <c r="G39" s="30"/>
      <c r="H39" s="2"/>
      <c r="I39" s="3"/>
      <c r="J39" s="3"/>
      <c r="K39" s="3"/>
    </row>
    <row r="40" spans="1:11" ht="12.75">
      <c r="A40" s="5" t="s">
        <v>38</v>
      </c>
      <c r="C40" s="3"/>
      <c r="D40" s="3"/>
      <c r="E40" s="29"/>
      <c r="F40" s="15"/>
      <c r="G40" s="36" t="s">
        <v>38</v>
      </c>
      <c r="H40" s="2"/>
      <c r="I40" s="3"/>
      <c r="J40" s="3"/>
      <c r="K40" s="3"/>
    </row>
    <row r="41" spans="1:11" ht="12.75">
      <c r="A41" s="111" t="s">
        <v>111</v>
      </c>
      <c r="B41" s="2" t="s">
        <v>2</v>
      </c>
      <c r="C41" s="3">
        <v>1</v>
      </c>
      <c r="D41" s="20">
        <v>8.02</v>
      </c>
      <c r="E41" s="29">
        <f>(C41*D41)</f>
        <v>8.02</v>
      </c>
      <c r="F41" s="15"/>
      <c r="G41" s="30" t="s">
        <v>103</v>
      </c>
      <c r="H41" s="2" t="s">
        <v>2</v>
      </c>
      <c r="I41" s="27"/>
      <c r="J41" s="27"/>
      <c r="K41" s="3">
        <f>(I41*J41)</f>
        <v>0</v>
      </c>
    </row>
    <row r="42" spans="1:11" ht="12.75">
      <c r="A42" s="108" t="s">
        <v>39</v>
      </c>
      <c r="B42" s="2" t="s">
        <v>2</v>
      </c>
      <c r="C42" s="3">
        <v>1</v>
      </c>
      <c r="D42" s="20">
        <v>6.75</v>
      </c>
      <c r="E42" s="29">
        <f>(C42*D42)</f>
        <v>6.75</v>
      </c>
      <c r="F42" s="15"/>
      <c r="G42" s="30" t="s">
        <v>39</v>
      </c>
      <c r="H42" s="2" t="s">
        <v>2</v>
      </c>
      <c r="I42" s="27"/>
      <c r="J42" s="27"/>
      <c r="K42" s="3">
        <f>(I42*J42)</f>
        <v>0</v>
      </c>
    </row>
    <row r="43" spans="1:11" ht="12.75">
      <c r="A43" s="106" t="s">
        <v>90</v>
      </c>
      <c r="B43" s="56" t="s">
        <v>2</v>
      </c>
      <c r="C43" s="3">
        <v>2</v>
      </c>
      <c r="D43" s="20">
        <v>5.86</v>
      </c>
      <c r="E43" s="29">
        <f>(C43*D43)</f>
        <v>11.72</v>
      </c>
      <c r="F43" s="15"/>
      <c r="G43" s="49"/>
      <c r="H43" s="27"/>
      <c r="I43" s="27"/>
      <c r="J43" s="27"/>
      <c r="K43" s="3">
        <f>(I43*J43)</f>
        <v>0</v>
      </c>
    </row>
    <row r="44" spans="1:11" ht="12.75">
      <c r="A44" s="4" t="s">
        <v>107</v>
      </c>
      <c r="B44" s="2" t="s">
        <v>2</v>
      </c>
      <c r="C44" s="3">
        <v>0</v>
      </c>
      <c r="D44" s="3">
        <v>0</v>
      </c>
      <c r="E44" s="29">
        <f>(C44*D44)</f>
        <v>0</v>
      </c>
      <c r="F44" s="15"/>
      <c r="G44" s="49"/>
      <c r="H44" s="27"/>
      <c r="I44" s="27"/>
      <c r="J44" s="27"/>
      <c r="K44" s="3">
        <f>(I44*J44)</f>
        <v>0</v>
      </c>
    </row>
    <row r="45" spans="1:11" ht="12.75">
      <c r="A45" s="4"/>
      <c r="C45" s="3"/>
      <c r="D45" s="3"/>
      <c r="E45" s="29"/>
      <c r="F45" s="15"/>
      <c r="G45" s="30"/>
      <c r="H45" s="2"/>
      <c r="I45" s="3"/>
      <c r="J45" s="3"/>
      <c r="K45" s="3"/>
    </row>
    <row r="46" spans="1:7" ht="12.75">
      <c r="A46" s="5" t="s">
        <v>40</v>
      </c>
      <c r="C46" s="3"/>
      <c r="D46" s="3"/>
      <c r="E46" s="29"/>
      <c r="F46" s="15"/>
      <c r="G46" s="36" t="s">
        <v>40</v>
      </c>
    </row>
    <row r="47" spans="1:11" ht="12.75">
      <c r="A47" s="4" t="s">
        <v>66</v>
      </c>
      <c r="B47" s="2" t="s">
        <v>41</v>
      </c>
      <c r="C47" s="3">
        <v>0</v>
      </c>
      <c r="D47" s="3">
        <v>0</v>
      </c>
      <c r="E47" s="29">
        <f>(C47*D47)</f>
        <v>0</v>
      </c>
      <c r="F47" s="15"/>
      <c r="G47" s="49"/>
      <c r="H47" s="27"/>
      <c r="I47" s="27"/>
      <c r="J47" s="27"/>
      <c r="K47" s="3">
        <f>(I47*J47)</f>
        <v>0</v>
      </c>
    </row>
    <row r="48" spans="1:11" ht="12.75">
      <c r="A48" s="5"/>
      <c r="C48" s="3"/>
      <c r="D48" s="3"/>
      <c r="E48" s="29"/>
      <c r="F48" s="15"/>
      <c r="G48" s="49"/>
      <c r="H48" s="27"/>
      <c r="I48" s="27"/>
      <c r="J48" s="27"/>
      <c r="K48" s="3">
        <f>(I48*J48)</f>
        <v>0</v>
      </c>
    </row>
    <row r="49" spans="1:11" ht="12.75">
      <c r="A49" s="5"/>
      <c r="C49" s="3"/>
      <c r="D49" s="3"/>
      <c r="E49" s="29"/>
      <c r="F49" s="15"/>
      <c r="G49" s="49"/>
      <c r="H49" s="27"/>
      <c r="I49" s="27"/>
      <c r="J49" s="27"/>
      <c r="K49" s="3">
        <f>(I49*J49)</f>
        <v>0</v>
      </c>
    </row>
    <row r="50" spans="1:11" ht="12.75">
      <c r="A50" s="5"/>
      <c r="C50" s="3"/>
      <c r="D50" s="3"/>
      <c r="E50" s="29"/>
      <c r="F50" s="15"/>
      <c r="G50" s="49"/>
      <c r="H50" s="27"/>
      <c r="I50" s="27"/>
      <c r="J50" s="27"/>
      <c r="K50" s="3">
        <f>(I50*J50)</f>
        <v>0</v>
      </c>
    </row>
    <row r="51" spans="1:11" ht="12.75">
      <c r="A51" s="5"/>
      <c r="C51" s="3"/>
      <c r="D51" s="3"/>
      <c r="E51" s="29"/>
      <c r="F51" s="15"/>
      <c r="G51" s="50"/>
      <c r="H51" s="48"/>
      <c r="I51" s="48"/>
      <c r="J51" s="48"/>
      <c r="K51" s="3"/>
    </row>
    <row r="52" spans="1:7" ht="12.75">
      <c r="A52" s="5" t="s">
        <v>70</v>
      </c>
      <c r="C52" s="3"/>
      <c r="D52" s="3"/>
      <c r="E52" s="29"/>
      <c r="F52" s="15"/>
      <c r="G52" s="36" t="s">
        <v>70</v>
      </c>
    </row>
    <row r="53" spans="1:11" ht="12.75">
      <c r="A53" s="4" t="s">
        <v>66</v>
      </c>
      <c r="B53" s="2" t="s">
        <v>41</v>
      </c>
      <c r="C53" s="3">
        <v>0</v>
      </c>
      <c r="D53" s="3">
        <v>0</v>
      </c>
      <c r="E53" s="29">
        <f>(C53*D53)</f>
        <v>0</v>
      </c>
      <c r="F53" s="15"/>
      <c r="G53" s="49"/>
      <c r="H53" s="27"/>
      <c r="I53" s="27"/>
      <c r="J53" s="27"/>
      <c r="K53" s="3">
        <f>(I53*J53)</f>
        <v>0</v>
      </c>
    </row>
    <row r="54" spans="1:11" ht="12.75">
      <c r="A54" s="5"/>
      <c r="C54" s="3"/>
      <c r="D54" s="3"/>
      <c r="E54" s="29"/>
      <c r="F54" s="15"/>
      <c r="G54" s="49"/>
      <c r="H54" s="27"/>
      <c r="I54" s="27"/>
      <c r="J54" s="27"/>
      <c r="K54" s="3">
        <f>(I54*J54)</f>
        <v>0</v>
      </c>
    </row>
    <row r="55" spans="1:11" ht="12.75">
      <c r="A55" s="5"/>
      <c r="C55" s="3"/>
      <c r="D55" s="3"/>
      <c r="E55" s="29"/>
      <c r="F55" s="15"/>
      <c r="G55" s="49"/>
      <c r="H55" s="27"/>
      <c r="I55" s="27"/>
      <c r="J55" s="27"/>
      <c r="K55" s="3">
        <f>(I55*J55)</f>
        <v>0</v>
      </c>
    </row>
    <row r="56" spans="1:11" ht="12.75">
      <c r="A56" s="5"/>
      <c r="C56" s="3"/>
      <c r="D56" s="3"/>
      <c r="E56" s="29"/>
      <c r="F56" s="15"/>
      <c r="G56" s="49"/>
      <c r="H56" s="27"/>
      <c r="I56" s="27"/>
      <c r="J56" s="27"/>
      <c r="K56" s="3">
        <f>(I56*J56)</f>
        <v>0</v>
      </c>
    </row>
    <row r="57" spans="1:11" ht="12.75">
      <c r="A57" s="4"/>
      <c r="C57" s="3"/>
      <c r="D57" s="3"/>
      <c r="E57" s="29"/>
      <c r="F57" s="15"/>
      <c r="G57" s="51"/>
      <c r="H57" s="52"/>
      <c r="I57" s="28"/>
      <c r="J57" s="28"/>
      <c r="K57" s="3"/>
    </row>
    <row r="58" spans="1:11" ht="12.75">
      <c r="A58" s="5" t="s">
        <v>44</v>
      </c>
      <c r="C58" s="3"/>
      <c r="D58" s="3"/>
      <c r="E58" s="29"/>
      <c r="F58" s="15"/>
      <c r="G58" s="36" t="s">
        <v>44</v>
      </c>
      <c r="H58" s="2"/>
      <c r="I58" s="3"/>
      <c r="J58" s="3"/>
      <c r="K58" s="3"/>
    </row>
    <row r="59" spans="1:11" ht="12.75">
      <c r="A59" s="7" t="s">
        <v>112</v>
      </c>
      <c r="B59" s="2" t="s">
        <v>41</v>
      </c>
      <c r="C59" s="3">
        <v>8.38</v>
      </c>
      <c r="D59" s="96">
        <v>3.52</v>
      </c>
      <c r="E59" s="29">
        <f>(C59*D59)</f>
        <v>29.497600000000002</v>
      </c>
      <c r="F59" s="15"/>
      <c r="G59" s="36" t="s">
        <v>42</v>
      </c>
      <c r="H59" s="2" t="s">
        <v>41</v>
      </c>
      <c r="I59" s="27"/>
      <c r="J59" s="27"/>
      <c r="K59" s="3">
        <f>(I59*J59)</f>
        <v>0</v>
      </c>
    </row>
    <row r="60" spans="1:11" ht="12.75">
      <c r="A60" s="7" t="s">
        <v>113</v>
      </c>
      <c r="B60" s="2" t="s">
        <v>41</v>
      </c>
      <c r="C60" s="3">
        <v>0.58</v>
      </c>
      <c r="D60" s="96">
        <v>3.21</v>
      </c>
      <c r="E60" s="29">
        <f>(C60*D60)</f>
        <v>1.8618</v>
      </c>
      <c r="F60" s="15"/>
      <c r="G60" s="36" t="s">
        <v>43</v>
      </c>
      <c r="H60" s="2" t="s">
        <v>41</v>
      </c>
      <c r="I60" s="27"/>
      <c r="J60" s="27"/>
      <c r="K60" s="3">
        <f>(I60*J60)</f>
        <v>0</v>
      </c>
    </row>
    <row r="61" spans="1:11" ht="12.75">
      <c r="A61" s="5" t="s">
        <v>15</v>
      </c>
      <c r="B61" s="2" t="s">
        <v>45</v>
      </c>
      <c r="C61" s="3">
        <v>0</v>
      </c>
      <c r="D61" s="3">
        <v>0</v>
      </c>
      <c r="E61" s="29">
        <f>(C61*D61)</f>
        <v>0</v>
      </c>
      <c r="F61" s="15"/>
      <c r="G61" s="36" t="s">
        <v>15</v>
      </c>
      <c r="H61" s="2" t="s">
        <v>45</v>
      </c>
      <c r="I61" s="27"/>
      <c r="J61" s="27"/>
      <c r="K61" s="3">
        <f>(I61*J61)</f>
        <v>0</v>
      </c>
    </row>
    <row r="62" spans="1:11" ht="12.75">
      <c r="A62" s="5" t="s">
        <v>16</v>
      </c>
      <c r="B62" s="2" t="s">
        <v>2</v>
      </c>
      <c r="C62" s="3">
        <v>1</v>
      </c>
      <c r="D62" s="3">
        <f>(E59+E60)*0.15</f>
        <v>4.70391</v>
      </c>
      <c r="E62" s="29">
        <f>(C62*D62)</f>
        <v>4.70391</v>
      </c>
      <c r="F62" s="15"/>
      <c r="G62" s="36" t="s">
        <v>16</v>
      </c>
      <c r="H62" s="2" t="s">
        <v>2</v>
      </c>
      <c r="I62" s="27"/>
      <c r="J62" s="27"/>
      <c r="K62" s="3">
        <f>(I62*J62)</f>
        <v>0</v>
      </c>
    </row>
    <row r="63" spans="1:11" ht="12.75">
      <c r="A63" s="5"/>
      <c r="C63" s="3"/>
      <c r="D63" s="3"/>
      <c r="E63" s="29"/>
      <c r="F63" s="15"/>
      <c r="G63" s="36"/>
      <c r="H63" s="2"/>
      <c r="I63" s="3"/>
      <c r="J63" s="3"/>
      <c r="K63" s="3"/>
    </row>
    <row r="64" spans="1:11" ht="12.75">
      <c r="A64" s="5" t="s">
        <v>46</v>
      </c>
      <c r="E64" s="31"/>
      <c r="F64" s="22"/>
      <c r="G64" s="36" t="s">
        <v>46</v>
      </c>
      <c r="H64" s="2"/>
      <c r="I64" s="2"/>
      <c r="J64" s="2"/>
      <c r="K64" s="2"/>
    </row>
    <row r="65" spans="1:11" ht="12.75">
      <c r="A65" s="5" t="s">
        <v>47</v>
      </c>
      <c r="B65" s="2" t="s">
        <v>2</v>
      </c>
      <c r="C65" s="3">
        <v>1</v>
      </c>
      <c r="D65" s="20">
        <v>5.26</v>
      </c>
      <c r="E65" s="29">
        <f>(C65*D65)</f>
        <v>5.26</v>
      </c>
      <c r="F65" s="15"/>
      <c r="G65" s="36" t="s">
        <v>47</v>
      </c>
      <c r="H65" s="2" t="s">
        <v>2</v>
      </c>
      <c r="I65" s="27"/>
      <c r="J65" s="27"/>
      <c r="K65" s="3">
        <f>(I65*J65)</f>
        <v>0</v>
      </c>
    </row>
    <row r="66" spans="1:11" ht="12.75">
      <c r="A66" s="5" t="s">
        <v>48</v>
      </c>
      <c r="B66" s="2" t="s">
        <v>2</v>
      </c>
      <c r="C66" s="3">
        <v>1</v>
      </c>
      <c r="D66" s="20">
        <v>23.37</v>
      </c>
      <c r="E66" s="29">
        <f>(C66*D66)</f>
        <v>23.37</v>
      </c>
      <c r="F66" s="15"/>
      <c r="G66" s="36" t="s">
        <v>48</v>
      </c>
      <c r="H66" s="2" t="s">
        <v>2</v>
      </c>
      <c r="I66" s="27"/>
      <c r="J66" s="27"/>
      <c r="K66" s="3">
        <f>(I66*J66)</f>
        <v>0</v>
      </c>
    </row>
    <row r="67" spans="1:11" ht="12.75">
      <c r="A67" s="5" t="s">
        <v>49</v>
      </c>
      <c r="B67" s="2" t="s">
        <v>2</v>
      </c>
      <c r="C67" s="3">
        <v>0</v>
      </c>
      <c r="D67" s="20">
        <v>0</v>
      </c>
      <c r="E67" s="29">
        <f>(C67*D67)</f>
        <v>0</v>
      </c>
      <c r="F67" s="15"/>
      <c r="G67" s="36" t="s">
        <v>49</v>
      </c>
      <c r="H67" s="2" t="s">
        <v>2</v>
      </c>
      <c r="I67" s="27"/>
      <c r="J67" s="27"/>
      <c r="K67" s="3">
        <f>(I67*J67)</f>
        <v>0</v>
      </c>
    </row>
    <row r="68" spans="1:11" ht="12.75">
      <c r="A68" s="5"/>
      <c r="C68" s="3"/>
      <c r="D68" s="3"/>
      <c r="E68" s="29"/>
      <c r="F68" s="15"/>
      <c r="G68" s="36"/>
      <c r="H68" s="2"/>
      <c r="I68" s="48"/>
      <c r="J68" s="48"/>
      <c r="K68" s="3"/>
    </row>
    <row r="69" spans="1:11" ht="14.25">
      <c r="A69" s="5"/>
      <c r="C69" s="3"/>
      <c r="D69" s="3"/>
      <c r="E69" s="29"/>
      <c r="F69" s="15"/>
      <c r="G69" s="36" t="s">
        <v>100</v>
      </c>
      <c r="H69" s="2" t="s">
        <v>2</v>
      </c>
      <c r="I69" s="27"/>
      <c r="J69" s="27"/>
      <c r="K69" s="3">
        <f>(I69*J69)</f>
        <v>0</v>
      </c>
    </row>
    <row r="70" spans="1:11" ht="12.75">
      <c r="A70" s="5"/>
      <c r="C70" s="3"/>
      <c r="D70" s="3"/>
      <c r="E70" s="29"/>
      <c r="F70" s="15"/>
      <c r="G70" s="36"/>
      <c r="H70" s="2"/>
      <c r="I70" s="3"/>
      <c r="J70" s="3"/>
      <c r="K70" s="3"/>
    </row>
    <row r="71" spans="1:11" ht="12.75">
      <c r="A71" s="4" t="s">
        <v>12</v>
      </c>
      <c r="C71" s="3"/>
      <c r="D71" s="3"/>
      <c r="E71" s="29">
        <f>SUM(E29:E70)</f>
        <v>298.11331</v>
      </c>
      <c r="F71" s="15"/>
      <c r="G71" s="30" t="s">
        <v>12</v>
      </c>
      <c r="H71" s="2"/>
      <c r="I71" s="3"/>
      <c r="J71" s="3"/>
      <c r="K71" s="3">
        <f>SUM(K29:K70)</f>
        <v>0</v>
      </c>
    </row>
    <row r="72" spans="1:11" ht="12.75">
      <c r="A72" s="5"/>
      <c r="C72" s="3"/>
      <c r="D72" s="3"/>
      <c r="E72" s="29"/>
      <c r="F72" s="15"/>
      <c r="G72" s="36"/>
      <c r="H72" s="2"/>
      <c r="I72" s="3"/>
      <c r="J72" s="3"/>
      <c r="K72" s="3"/>
    </row>
    <row r="73" spans="1:11" ht="12.75">
      <c r="A73" s="4" t="s">
        <v>8</v>
      </c>
      <c r="B73" s="2" t="s">
        <v>2</v>
      </c>
      <c r="C73" s="3">
        <f>(E71)</f>
        <v>298.11331</v>
      </c>
      <c r="D73" s="8">
        <v>0.0399</v>
      </c>
      <c r="E73" s="29">
        <f>(C73*D73)/2</f>
        <v>5.9473605345</v>
      </c>
      <c r="F73" s="15"/>
      <c r="G73" s="30" t="s">
        <v>8</v>
      </c>
      <c r="H73" s="2" t="s">
        <v>2</v>
      </c>
      <c r="I73" s="55"/>
      <c r="J73" s="54">
        <f>(K71)</f>
        <v>0</v>
      </c>
      <c r="K73" s="3">
        <f>(I73*J73)/2</f>
        <v>0</v>
      </c>
    </row>
    <row r="74" spans="1:11" ht="12.75">
      <c r="A74" s="4"/>
      <c r="C74" s="3"/>
      <c r="D74" s="8"/>
      <c r="E74" s="29"/>
      <c r="F74" s="15"/>
      <c r="G74" s="30" t="s">
        <v>79</v>
      </c>
      <c r="H74" s="2"/>
      <c r="I74" s="48"/>
      <c r="J74" s="48"/>
      <c r="K74" s="3"/>
    </row>
    <row r="75" spans="1:11" ht="12.75">
      <c r="A75" s="4"/>
      <c r="C75" s="3"/>
      <c r="D75" s="8"/>
      <c r="E75" s="29"/>
      <c r="F75" s="15"/>
      <c r="G75" s="30"/>
      <c r="H75" s="2"/>
      <c r="I75" s="3"/>
      <c r="J75" s="8"/>
      <c r="K75" s="3"/>
    </row>
    <row r="76" spans="1:11" s="1" customFormat="1" ht="12.75">
      <c r="A76" s="97" t="s">
        <v>91</v>
      </c>
      <c r="B76" s="12"/>
      <c r="C76" s="10"/>
      <c r="D76" s="98"/>
      <c r="E76" s="32">
        <f>SUM(E71:E75)</f>
        <v>304.0606705345</v>
      </c>
      <c r="F76" s="16"/>
      <c r="G76" s="99" t="s">
        <v>91</v>
      </c>
      <c r="H76" s="12"/>
      <c r="I76" s="10"/>
      <c r="J76" s="98"/>
      <c r="K76" s="10">
        <f>SUM(K71:K75)</f>
        <v>0</v>
      </c>
    </row>
    <row r="77" spans="1:11" s="1" customFormat="1" ht="12.75">
      <c r="A77" s="97"/>
      <c r="B77" s="12"/>
      <c r="C77" s="10"/>
      <c r="D77" s="98"/>
      <c r="E77" s="32"/>
      <c r="F77" s="16"/>
      <c r="G77" s="99"/>
      <c r="H77" s="12"/>
      <c r="I77" s="10"/>
      <c r="J77" s="98"/>
      <c r="K77" s="10"/>
    </row>
    <row r="78" spans="1:11" s="1" customFormat="1" ht="12.75">
      <c r="A78" s="97" t="s">
        <v>92</v>
      </c>
      <c r="B78" s="12"/>
      <c r="C78" s="10"/>
      <c r="D78" s="98"/>
      <c r="E78" s="32">
        <f>(E76/C19)</f>
        <v>304.0606705345</v>
      </c>
      <c r="F78" s="16"/>
      <c r="G78" s="99" t="s">
        <v>92</v>
      </c>
      <c r="H78" s="12"/>
      <c r="I78" s="10"/>
      <c r="J78" s="98"/>
      <c r="K78" s="10" t="e">
        <f>(K76/I19)</f>
        <v>#DIV/0!</v>
      </c>
    </row>
    <row r="79" spans="1:11" ht="12.75">
      <c r="A79" s="4"/>
      <c r="C79" s="3"/>
      <c r="D79" s="8"/>
      <c r="E79" s="29"/>
      <c r="F79" s="15"/>
      <c r="G79" s="30"/>
      <c r="H79" s="2"/>
      <c r="I79" s="3"/>
      <c r="J79" s="8"/>
      <c r="K79" s="3"/>
    </row>
    <row r="80" spans="1:11" ht="12.75">
      <c r="A80" s="5"/>
      <c r="C80" s="3"/>
      <c r="D80" s="3"/>
      <c r="E80" s="29"/>
      <c r="F80" s="15"/>
      <c r="G80" s="36"/>
      <c r="H80" s="2"/>
      <c r="I80" s="3"/>
      <c r="J80" s="3"/>
      <c r="K80" s="3"/>
    </row>
    <row r="81" spans="1:11" ht="12.75">
      <c r="A81" s="9" t="s">
        <v>9</v>
      </c>
      <c r="C81" s="3"/>
      <c r="D81" s="3"/>
      <c r="E81" s="29"/>
      <c r="F81" s="15"/>
      <c r="G81" s="34" t="s">
        <v>9</v>
      </c>
      <c r="H81" s="2"/>
      <c r="I81" s="3"/>
      <c r="J81" s="3"/>
      <c r="K81" s="3"/>
    </row>
    <row r="82" spans="1:11" ht="12.75">
      <c r="A82" s="5"/>
      <c r="C82" s="3"/>
      <c r="D82" s="3"/>
      <c r="E82" s="29"/>
      <c r="F82" s="15"/>
      <c r="G82" s="36"/>
      <c r="H82" s="2"/>
      <c r="I82" s="3"/>
      <c r="J82" s="3"/>
      <c r="K82" s="3"/>
    </row>
    <row r="83" spans="2:11" ht="12.75">
      <c r="B83" s="2" t="s">
        <v>3</v>
      </c>
      <c r="C83" s="2" t="s">
        <v>4</v>
      </c>
      <c r="D83" s="2" t="s">
        <v>5</v>
      </c>
      <c r="E83" s="31" t="s">
        <v>6</v>
      </c>
      <c r="F83" s="22"/>
      <c r="G83" s="33"/>
      <c r="H83" s="2" t="s">
        <v>3</v>
      </c>
      <c r="I83" s="2" t="s">
        <v>4</v>
      </c>
      <c r="J83" s="2" t="s">
        <v>5</v>
      </c>
      <c r="K83" s="2" t="s">
        <v>6</v>
      </c>
    </row>
    <row r="84" spans="1:11" ht="12.75">
      <c r="A84" s="6"/>
      <c r="D84" s="2" t="s">
        <v>0</v>
      </c>
      <c r="E84" s="31" t="s">
        <v>7</v>
      </c>
      <c r="F84" s="22"/>
      <c r="G84" s="37"/>
      <c r="H84" s="2"/>
      <c r="I84" s="2"/>
      <c r="J84" s="2" t="s">
        <v>0</v>
      </c>
      <c r="K84" s="2" t="s">
        <v>7</v>
      </c>
    </row>
    <row r="85" spans="1:11" ht="12.75">
      <c r="A85" s="6"/>
      <c r="C85" s="3"/>
      <c r="D85" s="3"/>
      <c r="E85" s="29"/>
      <c r="F85" s="15"/>
      <c r="G85" s="37"/>
      <c r="H85" s="2"/>
      <c r="I85" s="3"/>
      <c r="J85" s="3"/>
      <c r="K85" s="3"/>
    </row>
    <row r="86" spans="1:11" ht="12.75">
      <c r="A86" s="7" t="s">
        <v>89</v>
      </c>
      <c r="B86" s="2" t="s">
        <v>50</v>
      </c>
      <c r="C86" s="3">
        <v>0</v>
      </c>
      <c r="D86" s="3">
        <v>0</v>
      </c>
      <c r="E86" s="29">
        <f>(C86*D86)</f>
        <v>0</v>
      </c>
      <c r="F86" s="15"/>
      <c r="G86" s="38" t="s">
        <v>102</v>
      </c>
      <c r="H86" s="2" t="s">
        <v>50</v>
      </c>
      <c r="I86" s="55"/>
      <c r="J86" s="54">
        <f>(K22)</f>
        <v>0</v>
      </c>
      <c r="K86" s="3">
        <f>(I86*J86)</f>
        <v>0</v>
      </c>
    </row>
    <row r="87" spans="1:11" ht="12.75">
      <c r="A87" s="7"/>
      <c r="C87" s="3"/>
      <c r="D87" s="3"/>
      <c r="E87" s="29"/>
      <c r="F87" s="15"/>
      <c r="G87" s="38"/>
      <c r="H87" s="2"/>
      <c r="I87" s="28"/>
      <c r="J87" s="28"/>
      <c r="K87" s="3"/>
    </row>
    <row r="88" spans="1:11" ht="12.75">
      <c r="A88" s="53" t="s">
        <v>71</v>
      </c>
      <c r="B88" s="2" t="s">
        <v>2</v>
      </c>
      <c r="C88" s="48">
        <v>1</v>
      </c>
      <c r="D88" s="48">
        <v>123.6</v>
      </c>
      <c r="E88" s="29">
        <f>(C88*D88)</f>
        <v>123.6</v>
      </c>
      <c r="F88" s="15"/>
      <c r="G88" s="38" t="s">
        <v>71</v>
      </c>
      <c r="H88" s="2" t="s">
        <v>2</v>
      </c>
      <c r="I88" s="27"/>
      <c r="J88" s="27"/>
      <c r="K88" s="3">
        <f>(I88*J88)</f>
        <v>0</v>
      </c>
    </row>
    <row r="89" spans="1:11" ht="12.75">
      <c r="A89" s="7"/>
      <c r="C89" s="8"/>
      <c r="D89" s="3"/>
      <c r="E89" s="29"/>
      <c r="F89" s="15"/>
      <c r="G89" s="38"/>
      <c r="H89" s="2"/>
      <c r="I89" s="8"/>
      <c r="J89" s="3"/>
      <c r="K89" s="3"/>
    </row>
    <row r="90" spans="1:11" ht="12.75">
      <c r="A90" s="7" t="s">
        <v>10</v>
      </c>
      <c r="B90" s="2" t="s">
        <v>11</v>
      </c>
      <c r="C90" s="3">
        <v>2.73</v>
      </c>
      <c r="D90" s="3">
        <v>10</v>
      </c>
      <c r="E90" s="29">
        <f>(C90*D90)</f>
        <v>27.3</v>
      </c>
      <c r="F90" s="15"/>
      <c r="G90" s="38" t="s">
        <v>10</v>
      </c>
      <c r="H90" s="2" t="s">
        <v>11</v>
      </c>
      <c r="I90" s="27"/>
      <c r="J90" s="27"/>
      <c r="K90" s="3">
        <f>(I90*J90)</f>
        <v>0</v>
      </c>
    </row>
    <row r="91" spans="1:11" ht="12.75">
      <c r="A91" s="7"/>
      <c r="C91" s="3"/>
      <c r="D91" s="3"/>
      <c r="E91" s="29"/>
      <c r="F91" s="15"/>
      <c r="G91" s="38"/>
      <c r="H91" s="2"/>
      <c r="I91" s="3"/>
      <c r="J91" s="3"/>
      <c r="K91" s="3"/>
    </row>
    <row r="92" spans="1:11" ht="12.75">
      <c r="A92" s="7" t="s">
        <v>51</v>
      </c>
      <c r="C92" s="3"/>
      <c r="D92" s="3"/>
      <c r="E92" s="29"/>
      <c r="F92" s="15"/>
      <c r="G92" s="38" t="s">
        <v>51</v>
      </c>
      <c r="H92" s="2"/>
      <c r="I92" s="3"/>
      <c r="J92" s="3"/>
      <c r="K92" s="3"/>
    </row>
    <row r="93" spans="1:11" ht="12.75">
      <c r="A93" s="5" t="s">
        <v>47</v>
      </c>
      <c r="B93" s="2" t="s">
        <v>2</v>
      </c>
      <c r="C93" s="3">
        <v>1</v>
      </c>
      <c r="D93" s="20">
        <v>8.04</v>
      </c>
      <c r="E93" s="29">
        <f>(C93*D93)</f>
        <v>8.04</v>
      </c>
      <c r="F93" s="15"/>
      <c r="G93" s="36" t="s">
        <v>47</v>
      </c>
      <c r="H93" s="2" t="s">
        <v>2</v>
      </c>
      <c r="I93" s="27"/>
      <c r="J93" s="27"/>
      <c r="K93" s="3">
        <f>(I93*J93)</f>
        <v>0</v>
      </c>
    </row>
    <row r="94" spans="1:11" ht="12.75">
      <c r="A94" s="5" t="s">
        <v>48</v>
      </c>
      <c r="B94" s="2" t="s">
        <v>2</v>
      </c>
      <c r="C94" s="3">
        <v>1</v>
      </c>
      <c r="D94" s="20">
        <v>23.03</v>
      </c>
      <c r="E94" s="29">
        <f>(C94*D94)</f>
        <v>23.03</v>
      </c>
      <c r="F94" s="15"/>
      <c r="G94" s="36" t="s">
        <v>48</v>
      </c>
      <c r="H94" s="2" t="s">
        <v>2</v>
      </c>
      <c r="I94" s="27"/>
      <c r="J94" s="27"/>
      <c r="K94" s="3">
        <f>(I94*J94)</f>
        <v>0</v>
      </c>
    </row>
    <row r="95" spans="1:11" ht="12.75">
      <c r="A95" s="5" t="s">
        <v>49</v>
      </c>
      <c r="B95" s="2" t="s">
        <v>2</v>
      </c>
      <c r="C95" s="3">
        <v>1</v>
      </c>
      <c r="D95" s="20">
        <v>0</v>
      </c>
      <c r="E95" s="29">
        <f>(C95*D95)</f>
        <v>0</v>
      </c>
      <c r="F95" s="15"/>
      <c r="G95" s="36" t="s">
        <v>49</v>
      </c>
      <c r="H95" s="2" t="s">
        <v>2</v>
      </c>
      <c r="I95" s="27"/>
      <c r="J95" s="27"/>
      <c r="K95" s="3">
        <f>(I95*J95)</f>
        <v>0</v>
      </c>
    </row>
    <row r="96" spans="1:11" ht="12.75">
      <c r="A96" s="5"/>
      <c r="C96" s="3"/>
      <c r="D96" s="3"/>
      <c r="E96" s="29"/>
      <c r="F96" s="15"/>
      <c r="G96" s="36"/>
      <c r="H96" s="2"/>
      <c r="I96" s="3"/>
      <c r="J96" s="3"/>
      <c r="K96" s="3"/>
    </row>
    <row r="97" spans="1:11" ht="12.75">
      <c r="A97" s="7" t="s">
        <v>52</v>
      </c>
      <c r="C97" s="3"/>
      <c r="D97" s="3"/>
      <c r="E97" s="29"/>
      <c r="F97" s="15"/>
      <c r="G97" s="38" t="s">
        <v>52</v>
      </c>
      <c r="H97" s="2"/>
      <c r="I97" s="3"/>
      <c r="J97" s="3"/>
      <c r="K97" s="3"/>
    </row>
    <row r="98" spans="1:11" ht="12.75">
      <c r="A98" s="5" t="s">
        <v>47</v>
      </c>
      <c r="B98" s="2" t="s">
        <v>2</v>
      </c>
      <c r="C98" s="3">
        <v>1</v>
      </c>
      <c r="D98" s="20">
        <v>13</v>
      </c>
      <c r="E98" s="29">
        <f>(C98*D98)</f>
        <v>13</v>
      </c>
      <c r="F98" s="15"/>
      <c r="G98" s="36" t="s">
        <v>47</v>
      </c>
      <c r="H98" s="2" t="s">
        <v>2</v>
      </c>
      <c r="I98" s="27"/>
      <c r="J98" s="27"/>
      <c r="K98" s="3">
        <f>(I98*J98)</f>
        <v>0</v>
      </c>
    </row>
    <row r="99" spans="1:11" ht="12.75">
      <c r="A99" s="5" t="s">
        <v>48</v>
      </c>
      <c r="B99" s="2" t="s">
        <v>2</v>
      </c>
      <c r="C99" s="3">
        <v>1</v>
      </c>
      <c r="D99" s="20">
        <v>50.03</v>
      </c>
      <c r="E99" s="29">
        <f>(C99*D99)</f>
        <v>50.03</v>
      </c>
      <c r="F99" s="15"/>
      <c r="G99" s="36" t="s">
        <v>48</v>
      </c>
      <c r="H99" s="2" t="s">
        <v>2</v>
      </c>
      <c r="I99" s="27"/>
      <c r="J99" s="27"/>
      <c r="K99" s="3">
        <f>(I99*J99)</f>
        <v>0</v>
      </c>
    </row>
    <row r="100" spans="1:11" ht="12.75">
      <c r="A100" s="5" t="s">
        <v>49</v>
      </c>
      <c r="B100" s="2" t="s">
        <v>2</v>
      </c>
      <c r="C100" s="3">
        <v>1</v>
      </c>
      <c r="D100" s="20">
        <v>0</v>
      </c>
      <c r="E100" s="29">
        <f>(C100*D100)</f>
        <v>0</v>
      </c>
      <c r="F100" s="15"/>
      <c r="G100" s="36" t="s">
        <v>49</v>
      </c>
      <c r="H100" s="2" t="s">
        <v>2</v>
      </c>
      <c r="I100" s="27"/>
      <c r="J100" s="27"/>
      <c r="K100" s="3">
        <f>(I100*J100)</f>
        <v>0</v>
      </c>
    </row>
    <row r="101" spans="5:11" ht="12.75">
      <c r="E101" s="31"/>
      <c r="F101" s="22"/>
      <c r="G101" s="33"/>
      <c r="H101" s="2"/>
      <c r="I101" s="2"/>
      <c r="J101" s="2"/>
      <c r="K101" s="2"/>
    </row>
    <row r="102" spans="1:11" s="1" customFormat="1" ht="12.75">
      <c r="A102" s="100" t="s">
        <v>94</v>
      </c>
      <c r="B102" s="12"/>
      <c r="C102" s="12"/>
      <c r="D102" s="12"/>
      <c r="E102" s="32">
        <f>SUM(E86:E101)</f>
        <v>245</v>
      </c>
      <c r="F102" s="16"/>
      <c r="G102" s="101" t="s">
        <v>94</v>
      </c>
      <c r="H102" s="12"/>
      <c r="I102" s="12"/>
      <c r="J102" s="12"/>
      <c r="K102" s="10">
        <f>SUM(K86:K101)</f>
        <v>0</v>
      </c>
    </row>
    <row r="103" spans="5:11" ht="12.75">
      <c r="E103" s="31"/>
      <c r="F103" s="22"/>
      <c r="G103" s="33"/>
      <c r="H103" s="2"/>
      <c r="I103" s="2"/>
      <c r="J103" s="2"/>
      <c r="K103" s="2"/>
    </row>
    <row r="104" spans="1:11" ht="12.75">
      <c r="A104" s="102" t="s">
        <v>95</v>
      </c>
      <c r="E104" s="32">
        <f>(E76+E102)</f>
        <v>549.0606705345</v>
      </c>
      <c r="F104" s="16"/>
      <c r="G104" s="35" t="s">
        <v>95</v>
      </c>
      <c r="H104" s="2"/>
      <c r="I104" s="2"/>
      <c r="J104" s="2"/>
      <c r="K104" s="10">
        <f>(K76+K102)</f>
        <v>0</v>
      </c>
    </row>
    <row r="105" spans="5:11" ht="12.75">
      <c r="E105" s="31"/>
      <c r="F105" s="22"/>
      <c r="G105" s="33"/>
      <c r="H105" s="2"/>
      <c r="I105" s="2"/>
      <c r="J105" s="2"/>
      <c r="K105" s="2"/>
    </row>
    <row r="106" spans="1:11" ht="12.75">
      <c r="A106" s="103" t="s">
        <v>96</v>
      </c>
      <c r="B106" s="56"/>
      <c r="C106" s="56"/>
      <c r="D106" s="56"/>
      <c r="E106" s="104">
        <f>(E22-E76)</f>
        <v>161.48932946549996</v>
      </c>
      <c r="F106" s="105"/>
      <c r="G106" s="103" t="s">
        <v>96</v>
      </c>
      <c r="H106" s="56"/>
      <c r="I106" s="56"/>
      <c r="J106" s="56"/>
      <c r="K106" s="104">
        <f>(K22-K76)</f>
        <v>0</v>
      </c>
    </row>
    <row r="107" spans="1:11" ht="12.75">
      <c r="A107" s="100"/>
      <c r="B107" s="56"/>
      <c r="C107" s="56"/>
      <c r="D107" s="56"/>
      <c r="E107" s="104"/>
      <c r="F107" s="105"/>
      <c r="G107" s="100"/>
      <c r="H107" s="56"/>
      <c r="I107" s="56"/>
      <c r="J107" s="56"/>
      <c r="K107" s="104"/>
    </row>
    <row r="108" spans="1:11" ht="12.75">
      <c r="A108" s="102" t="s">
        <v>97</v>
      </c>
      <c r="B108" s="56"/>
      <c r="C108" s="56"/>
      <c r="D108" s="56"/>
      <c r="E108" s="104">
        <f>(E22-E104)</f>
        <v>-83.51067053450004</v>
      </c>
      <c r="F108" s="105"/>
      <c r="G108" s="102" t="s">
        <v>97</v>
      </c>
      <c r="H108" s="2"/>
      <c r="I108" s="2"/>
      <c r="J108" s="2"/>
      <c r="K108" s="10">
        <f>(K22-K104)</f>
        <v>0</v>
      </c>
    </row>
    <row r="109" spans="1:11" ht="12.75">
      <c r="A109" s="1"/>
      <c r="E109" s="16"/>
      <c r="F109" s="58"/>
      <c r="G109" s="57"/>
      <c r="H109" s="2"/>
      <c r="I109" s="2"/>
      <c r="J109" s="2"/>
      <c r="K109" s="10"/>
    </row>
    <row r="110" spans="1:11" ht="12.75">
      <c r="A110" s="1" t="s">
        <v>98</v>
      </c>
      <c r="B110" s="2" t="s">
        <v>99</v>
      </c>
      <c r="E110" s="32">
        <f>(E104-E20)/C19</f>
        <v>307.64067053450003</v>
      </c>
      <c r="F110" s="58"/>
      <c r="G110" s="1" t="s">
        <v>98</v>
      </c>
      <c r="H110" s="2" t="s">
        <v>99</v>
      </c>
      <c r="I110" s="2"/>
      <c r="J110" s="2"/>
      <c r="K110" s="16" t="e">
        <f>(K104-K20)/I19</f>
        <v>#DIV/0!</v>
      </c>
    </row>
    <row r="111" spans="1:11" ht="12.75">
      <c r="A111" s="1"/>
      <c r="E111" s="16"/>
      <c r="F111" s="22"/>
      <c r="G111" s="1"/>
      <c r="H111" s="2"/>
      <c r="I111" s="2"/>
      <c r="J111" s="2"/>
      <c r="K111" s="16"/>
    </row>
    <row r="112" spans="1:12" s="14" customFormat="1" ht="14.25">
      <c r="A112" s="17"/>
      <c r="B112" s="18"/>
      <c r="C112" s="18"/>
      <c r="D112" s="18"/>
      <c r="E112" s="19"/>
      <c r="F112" s="19"/>
      <c r="G112" s="19"/>
      <c r="I112" s="18"/>
      <c r="J112" s="18"/>
      <c r="K112" s="18"/>
      <c r="L112" s="20"/>
    </row>
    <row r="113" spans="1:12" ht="14.25">
      <c r="A113" s="17" t="s">
        <v>101</v>
      </c>
      <c r="E113" s="16"/>
      <c r="F113" s="16"/>
      <c r="G113" s="16"/>
      <c r="H113" s="1"/>
      <c r="I113" s="2"/>
      <c r="J113" s="2"/>
      <c r="K113" s="2"/>
      <c r="L113" s="10"/>
    </row>
    <row r="114" spans="1:12" ht="12.75">
      <c r="A114" s="14" t="s">
        <v>69</v>
      </c>
      <c r="E114" s="16"/>
      <c r="F114" s="16"/>
      <c r="G114" s="16"/>
      <c r="H114" s="1"/>
      <c r="I114" s="2"/>
      <c r="J114" s="2"/>
      <c r="K114" s="2"/>
      <c r="L114" s="10"/>
    </row>
    <row r="115" spans="1:8" ht="12.75">
      <c r="A115" s="95" t="s">
        <v>108</v>
      </c>
      <c r="E115" s="3"/>
      <c r="F115" s="3"/>
      <c r="G115" s="3"/>
      <c r="H115" s="1"/>
    </row>
    <row r="116" spans="1:8" ht="12.75">
      <c r="A116" s="21"/>
      <c r="E116" s="3"/>
      <c r="F116" s="3"/>
      <c r="G116" s="3"/>
      <c r="H116" s="1"/>
    </row>
    <row r="117" spans="1:7" ht="12.75">
      <c r="A117" s="14" t="s">
        <v>114</v>
      </c>
      <c r="E117" s="3"/>
      <c r="F117" s="3"/>
      <c r="G117" s="1"/>
    </row>
    <row r="118" spans="1:8" ht="12.75">
      <c r="A118" s="14"/>
      <c r="E118" s="3"/>
      <c r="F118" s="3"/>
      <c r="G118" s="3"/>
      <c r="H118" s="1"/>
    </row>
    <row r="119" spans="1:7" ht="12.75">
      <c r="A119" s="14" t="s">
        <v>116</v>
      </c>
      <c r="E119" s="3"/>
      <c r="F119" s="3"/>
      <c r="G119" s="1"/>
    </row>
    <row r="120" ht="12.75">
      <c r="A120" t="s">
        <v>32</v>
      </c>
    </row>
    <row r="123" ht="12.75"/>
    <row r="124" ht="12.75"/>
    <row r="125" ht="12.75"/>
    <row r="126" ht="12.75"/>
    <row r="127" ht="12.75"/>
    <row r="128" ht="12.75"/>
    <row r="129" ht="12.75"/>
  </sheetData>
  <sheetProtection password="C610" sheet="1"/>
  <hyperlinks>
    <hyperlink ref="A115" r:id="rId1" display="  Wisconsin's 2010 Custom Rate Guide.  "/>
  </hyperlinks>
  <printOptions/>
  <pageMargins left="0.75" right="0.75" top="1" bottom="1" header="0.5" footer="0.5"/>
  <pageSetup horizontalDpi="300" verticalDpi="300" orientation="landscape" scale="65" r:id="rId3"/>
  <rowBreaks count="1" manualBreakCount="1">
    <brk id="57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5"/>
  <sheetViews>
    <sheetView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10.8515625" style="0" customWidth="1"/>
    <col min="2" max="2" width="13.28125" style="0" customWidth="1"/>
    <col min="3" max="3" width="9.00390625" style="0" customWidth="1"/>
    <col min="4" max="8" width="10.28125" style="0" customWidth="1"/>
    <col min="10" max="10" width="12.7109375" style="0" customWidth="1"/>
    <col min="11" max="17" width="10.28125" style="0" customWidth="1"/>
  </cols>
  <sheetData>
    <row r="3" ht="12.75" customHeight="1">
      <c r="G3" s="59"/>
    </row>
    <row r="6" ht="15.75">
      <c r="A6" s="107" t="s">
        <v>115</v>
      </c>
    </row>
    <row r="7" ht="12.75">
      <c r="A7" s="1"/>
    </row>
    <row r="8" ht="12.75">
      <c r="A8" s="1"/>
    </row>
    <row r="9" spans="5:14" ht="15.75">
      <c r="E9" s="109" t="s">
        <v>54</v>
      </c>
      <c r="F9" s="109"/>
      <c r="M9" s="109" t="s">
        <v>55</v>
      </c>
      <c r="N9" s="109"/>
    </row>
    <row r="10" ht="12.75" customHeight="1"/>
    <row r="11" spans="3:16" ht="12.75">
      <c r="C11" s="1"/>
      <c r="D11" s="1"/>
      <c r="E11" s="110" t="s">
        <v>80</v>
      </c>
      <c r="F11" s="110"/>
      <c r="G11" s="1"/>
      <c r="H11" s="1"/>
      <c r="K11" s="1"/>
      <c r="L11" s="1"/>
      <c r="M11" s="110" t="s">
        <v>80</v>
      </c>
      <c r="N11" s="110"/>
      <c r="O11" s="1"/>
      <c r="P11" s="1"/>
    </row>
    <row r="12" spans="3:16" ht="12.75">
      <c r="C12" s="1" t="s">
        <v>81</v>
      </c>
      <c r="D12" s="1"/>
      <c r="E12" s="1"/>
      <c r="F12" s="1"/>
      <c r="G12" s="1"/>
      <c r="H12" s="1"/>
      <c r="K12" s="1" t="s">
        <v>81</v>
      </c>
      <c r="L12" s="1"/>
      <c r="M12" s="1"/>
      <c r="N12" s="1"/>
      <c r="O12" s="1"/>
      <c r="P12" s="1"/>
    </row>
    <row r="15" spans="4:16" ht="13.5" thickBot="1">
      <c r="D15" s="60">
        <v>-0.2</v>
      </c>
      <c r="E15" s="60">
        <v>-0.1</v>
      </c>
      <c r="F15" s="12" t="s">
        <v>5</v>
      </c>
      <c r="G15" s="61" t="s">
        <v>82</v>
      </c>
      <c r="H15" s="61" t="s">
        <v>83</v>
      </c>
      <c r="L15" s="60">
        <v>-0.2</v>
      </c>
      <c r="M15" s="60">
        <v>-0.1</v>
      </c>
      <c r="N15" s="12" t="s">
        <v>5</v>
      </c>
      <c r="O15" s="61" t="s">
        <v>82</v>
      </c>
      <c r="P15" s="61" t="s">
        <v>83</v>
      </c>
    </row>
    <row r="16" spans="1:16" ht="13.5" thickBot="1">
      <c r="A16" s="62"/>
      <c r="D16" s="63">
        <f>ROUND((F16*0.8),L2)</f>
        <v>179</v>
      </c>
      <c r="E16" s="64">
        <f>ROUND((F16*0.9),2)</f>
        <v>201.72</v>
      </c>
      <c r="F16" s="64">
        <f>Budget!D19</f>
        <v>224.13</v>
      </c>
      <c r="G16" s="64">
        <f>ROUND((F16*1.1),2)</f>
        <v>246.54</v>
      </c>
      <c r="H16" s="65">
        <f>ROUND((F16*1.2),2)</f>
        <v>268.96</v>
      </c>
      <c r="L16" s="63">
        <f>ROUND((N16*0.8),T2)</f>
        <v>0</v>
      </c>
      <c r="M16" s="64">
        <f>ROUND((N16*0.9),2)</f>
        <v>0</v>
      </c>
      <c r="N16" s="64">
        <f>Budget!J19</f>
        <v>0</v>
      </c>
      <c r="O16" s="64">
        <f>ROUND((N16*1.1),2)</f>
        <v>0</v>
      </c>
      <c r="P16" s="65">
        <f>ROUND((N16*1.2),2)</f>
        <v>0</v>
      </c>
    </row>
    <row r="17" spans="1:16" ht="12.75">
      <c r="A17" s="62"/>
      <c r="B17" s="66">
        <v>-0.2</v>
      </c>
      <c r="C17" s="67">
        <f>(0.8*C19)</f>
        <v>0.8</v>
      </c>
      <c r="D17" s="68">
        <f>(D16*C17)-(Budget!E104-Budget!E20)</f>
        <v>-164.44067053450001</v>
      </c>
      <c r="E17" s="69">
        <f>(E16*C17)-(Budget!E104-Budget!E20)</f>
        <v>-146.26467053450003</v>
      </c>
      <c r="F17" s="70">
        <f>(F16*C17)-(Budget!E104-Budget!E20)</f>
        <v>-128.33667053450003</v>
      </c>
      <c r="G17" s="70">
        <f>(G16*C17)-(Budget!E104-Budget!E20)</f>
        <v>-110.40867053450003</v>
      </c>
      <c r="H17" s="71">
        <f>(H16*C17)-(Budget!E104-Budget!E20)</f>
        <v>-92.47267053450003</v>
      </c>
      <c r="J17" s="66">
        <v>-0.2</v>
      </c>
      <c r="K17" s="67">
        <f>(0.8*K19)</f>
        <v>0</v>
      </c>
      <c r="L17" s="68">
        <f>(L16*K17)-(Budget!K104-Budget!K20)</f>
        <v>0</v>
      </c>
      <c r="M17" s="69">
        <f>(M16*K17)-(Budget!K104-Budget!K20)</f>
        <v>0</v>
      </c>
      <c r="N17" s="70">
        <f>(N16*K17)-(Budget!K104-Budget!K20)</f>
        <v>0</v>
      </c>
      <c r="O17" s="70">
        <f>(O16*K17)-(Budget!K104-Budget!K20)</f>
        <v>0</v>
      </c>
      <c r="P17" s="71">
        <f>(P16*K17)-(Budget!K104-Budget!K20)</f>
        <v>0</v>
      </c>
    </row>
    <row r="18" spans="1:16" ht="12.75">
      <c r="A18" s="4"/>
      <c r="B18" s="66">
        <v>-0.1</v>
      </c>
      <c r="C18" s="72">
        <f>(0.9*C19)</f>
        <v>0.9</v>
      </c>
      <c r="D18" s="73">
        <f>(D16*C18)-(Budget!E104-Budget!E20)</f>
        <v>-146.54067053450004</v>
      </c>
      <c r="E18" s="70">
        <f>(E16*C18)-(Budget!E104-Budget!E20)</f>
        <v>-126.09267053450003</v>
      </c>
      <c r="F18" s="70">
        <f>(F16*C18)-(Budget!E104-Budget!E20)</f>
        <v>-105.92367053450002</v>
      </c>
      <c r="G18" s="70">
        <f>(G16*C18)-(Budget!E104-Budget!E20)</f>
        <v>-85.75467053450004</v>
      </c>
      <c r="H18" s="74">
        <f>(H16*C18)-(Budget!E104-Budget!E20)</f>
        <v>-65.57667053450004</v>
      </c>
      <c r="J18" s="66">
        <v>-0.1</v>
      </c>
      <c r="K18" s="72">
        <f>(0.9*K19)</f>
        <v>0</v>
      </c>
      <c r="L18" s="73">
        <f>(L16*K18)-(Budget!K104-Budget!K20)</f>
        <v>0</v>
      </c>
      <c r="M18" s="70">
        <f>(M16*K18)-(Budget!K104-Budget!K20)</f>
        <v>0</v>
      </c>
      <c r="N18" s="70">
        <f>(N16*K18)-(Budget!K104-Budget!K20)</f>
        <v>0</v>
      </c>
      <c r="O18" s="70">
        <f>(O16*K18)-(Budget!K104-Budget!K20)</f>
        <v>0</v>
      </c>
      <c r="P18" s="74">
        <f>(P16*K18)-(Budget!K104-Budget!K20)</f>
        <v>0</v>
      </c>
    </row>
    <row r="19" spans="1:16" ht="12.75">
      <c r="A19" s="62"/>
      <c r="B19" s="6" t="s">
        <v>84</v>
      </c>
      <c r="C19" s="72">
        <f>Budget!C19</f>
        <v>1</v>
      </c>
      <c r="D19" s="73">
        <f>(D16*C19)-(Budget!E104-Budget!E20)</f>
        <v>-128.64067053450003</v>
      </c>
      <c r="E19" s="70">
        <f>(E16*C19)-(Budget!E104-Budget!E20)</f>
        <v>-105.92067053450003</v>
      </c>
      <c r="F19" s="70">
        <f>(F16*C19)-(Budget!E104-Budget!E20)</f>
        <v>-83.51067053450004</v>
      </c>
      <c r="G19" s="70">
        <f>(G16*C19)-(Budget!E104-Budget!E20)</f>
        <v>-61.10067053450004</v>
      </c>
      <c r="H19" s="74">
        <f>(H16*C19)-(Budget!E104-Budget!E20)</f>
        <v>-38.68067053450005</v>
      </c>
      <c r="J19" s="6" t="s">
        <v>84</v>
      </c>
      <c r="K19" s="72">
        <f>Budget!I19</f>
        <v>0</v>
      </c>
      <c r="L19" s="73">
        <f>(L16*K19)-(Budget!K104-Budget!K20)</f>
        <v>0</v>
      </c>
      <c r="M19" s="70">
        <f>(M16*K19)-(Budget!K104-Budget!K20)</f>
        <v>0</v>
      </c>
      <c r="N19" s="70">
        <f>(N16*K19)-(Budget!K104-Budget!K20)</f>
        <v>0</v>
      </c>
      <c r="O19" s="70">
        <f>(O16*K19)-(Budget!K104-Budget!K20)</f>
        <v>0</v>
      </c>
      <c r="P19" s="74">
        <f>(P16*K19)-(Budget!K104-Budget!K20)</f>
        <v>0</v>
      </c>
    </row>
    <row r="20" spans="1:16" ht="12.75">
      <c r="A20" s="62"/>
      <c r="B20" s="75" t="s">
        <v>82</v>
      </c>
      <c r="C20" s="72">
        <f>(1.1*C19)</f>
        <v>1.1</v>
      </c>
      <c r="D20" s="73">
        <f>(D16*C20)-(Budget!E104-Budget!E20)</f>
        <v>-110.74067053450003</v>
      </c>
      <c r="E20" s="70">
        <f>(E16*C20)-(Budget!E104-Budget!E20)</f>
        <v>-85.74867053450001</v>
      </c>
      <c r="F20" s="70">
        <f>(F16*C20)-(Budget!E104-Budget!E20)</f>
        <v>-61.097670534500025</v>
      </c>
      <c r="G20" s="70">
        <f>(G16*C20)-(Budget!E104-Budget!E20)</f>
        <v>-36.446670534500015</v>
      </c>
      <c r="H20" s="74">
        <f>(H16*C20)-(Budget!E104-Budget!E20)</f>
        <v>-11.784670534500037</v>
      </c>
      <c r="J20" s="75" t="s">
        <v>82</v>
      </c>
      <c r="K20" s="72">
        <f>(1.1*K19)</f>
        <v>0</v>
      </c>
      <c r="L20" s="73">
        <f>(L16*K20)-(Budget!K104-Budget!K20)</f>
        <v>0</v>
      </c>
      <c r="M20" s="70">
        <f>(M16*K20)-(Budget!K104-Budget!K20)</f>
        <v>0</v>
      </c>
      <c r="N20" s="70">
        <f>(N16*K20)-(Budget!K104-Budget!K20)</f>
        <v>0</v>
      </c>
      <c r="O20" s="70">
        <f>(O16*K20)-(Budget!K104-Budget!K20)</f>
        <v>0</v>
      </c>
      <c r="P20" s="74">
        <f>(P16*K20)-(Budget!K104-Budget!K20)</f>
        <v>0</v>
      </c>
    </row>
    <row r="21" spans="2:16" ht="13.5" thickBot="1">
      <c r="B21" s="66" t="s">
        <v>83</v>
      </c>
      <c r="C21" s="76">
        <f>(1.2*C19)</f>
        <v>1.2</v>
      </c>
      <c r="D21" s="77">
        <f>(D16*C21)-(Budget!E104-Budget!E20)</f>
        <v>-92.84067053450005</v>
      </c>
      <c r="E21" s="78">
        <f>(E16*C21)-(Budget!E104-Budget!E20)</f>
        <v>-65.57667053450004</v>
      </c>
      <c r="F21" s="78">
        <f>(F16*C21)-(Budget!E104-Budget!E20)</f>
        <v>-38.68467053450007</v>
      </c>
      <c r="G21" s="78">
        <f>(G16*C21)-(Budget!E104-Budget!E20)</f>
        <v>-11.792670534500076</v>
      </c>
      <c r="H21" s="79">
        <f>(H16*C21)-(Budget!E104-Budget!E20)</f>
        <v>15.11132946549992</v>
      </c>
      <c r="J21" s="66" t="s">
        <v>83</v>
      </c>
      <c r="K21" s="76">
        <f>(1.2*K19)</f>
        <v>0</v>
      </c>
      <c r="L21" s="77">
        <f>(L16*K21)-(Budget!K104-Budget!K20)</f>
        <v>0</v>
      </c>
      <c r="M21" s="78">
        <f>(M16*K21)-(Budget!K104-Budget!K20)</f>
        <v>0</v>
      </c>
      <c r="N21" s="78">
        <f>(N16*K21)-(Budget!K104-Budget!K20)</f>
        <v>0</v>
      </c>
      <c r="O21" s="78">
        <f>(O16*K21)-(Budget!K104-Budget!K20)</f>
        <v>0</v>
      </c>
      <c r="P21" s="79">
        <f>(P16*K21)-(Budget!K104-Budget!K20)</f>
        <v>0</v>
      </c>
    </row>
    <row r="26" spans="3:14" ht="12.75">
      <c r="C26" s="1"/>
      <c r="D26" s="1"/>
      <c r="E26" s="110" t="s">
        <v>85</v>
      </c>
      <c r="F26" s="110"/>
      <c r="K26" s="1"/>
      <c r="L26" s="1"/>
      <c r="M26" s="110" t="s">
        <v>85</v>
      </c>
      <c r="N26" s="110"/>
    </row>
    <row r="27" spans="3:14" ht="12.75">
      <c r="C27" s="1" t="s">
        <v>86</v>
      </c>
      <c r="D27" s="1"/>
      <c r="E27" s="1"/>
      <c r="F27" s="1"/>
      <c r="K27" s="1" t="s">
        <v>86</v>
      </c>
      <c r="L27" s="1"/>
      <c r="M27" s="1"/>
      <c r="N27" s="1"/>
    </row>
    <row r="29" spans="4:16" ht="13.5" thickBot="1">
      <c r="D29" s="60">
        <v>-0.2</v>
      </c>
      <c r="E29" s="60">
        <v>-0.1</v>
      </c>
      <c r="F29" s="12" t="s">
        <v>5</v>
      </c>
      <c r="G29" s="61" t="s">
        <v>82</v>
      </c>
      <c r="H29" s="61" t="s">
        <v>83</v>
      </c>
      <c r="L29" s="60">
        <v>-0.2</v>
      </c>
      <c r="M29" s="60">
        <v>-0.1</v>
      </c>
      <c r="N29" s="12" t="s">
        <v>5</v>
      </c>
      <c r="O29" s="61" t="s">
        <v>82</v>
      </c>
      <c r="P29" s="61" t="s">
        <v>83</v>
      </c>
    </row>
    <row r="30" spans="4:16" ht="13.5" thickBot="1">
      <c r="D30" s="80">
        <f>ROUND((F30*0.8),2)</f>
        <v>179.3</v>
      </c>
      <c r="E30" s="81">
        <f>ROUND((F30*0.9),2)</f>
        <v>201.72</v>
      </c>
      <c r="F30" s="81">
        <f>Budget!D19</f>
        <v>224.13</v>
      </c>
      <c r="G30" s="82">
        <f>ROUND((F30*1.1),2)</f>
        <v>246.54</v>
      </c>
      <c r="H30" s="65">
        <f>ROUND((F30*1.2),2)</f>
        <v>268.96</v>
      </c>
      <c r="L30" s="80">
        <f>ROUND((N30*0.8),2)</f>
        <v>0</v>
      </c>
      <c r="M30" s="81">
        <f>ROUND((N30*0.9),2)</f>
        <v>0</v>
      </c>
      <c r="N30" s="81">
        <f>Budget!J19</f>
        <v>0</v>
      </c>
      <c r="O30" s="82">
        <f>ROUND((N30*1.1),2)</f>
        <v>0</v>
      </c>
      <c r="P30" s="65">
        <f>ROUND((N30*1.2),2)</f>
        <v>0</v>
      </c>
    </row>
    <row r="31" spans="2:16" ht="12.75">
      <c r="B31" s="66">
        <v>-0.2</v>
      </c>
      <c r="C31" s="83">
        <f>(0.8*C33)</f>
        <v>439.2485364276</v>
      </c>
      <c r="D31" s="84">
        <f>(C31-Budget!E20)/D30</f>
        <v>1.1033381842030119</v>
      </c>
      <c r="E31" s="85">
        <f>(C31-Budget!E20)/E30</f>
        <v>0.9807085882788025</v>
      </c>
      <c r="F31" s="85">
        <f>(C31-Budget!E20)/F30</f>
        <v>0.88265085632267</v>
      </c>
      <c r="G31" s="85">
        <f>(C31-Budget!E20)/G30</f>
        <v>0.8024196334371706</v>
      </c>
      <c r="H31" s="86">
        <f>(C31-Budget!E20)/H30</f>
        <v>0.7355314412091019</v>
      </c>
      <c r="J31" s="66">
        <v>-0.2</v>
      </c>
      <c r="K31" s="83">
        <f>(0.8*K33)</f>
        <v>0</v>
      </c>
      <c r="L31" s="84" t="e">
        <f>(K31-Budget!K20)/L30</f>
        <v>#DIV/0!</v>
      </c>
      <c r="M31" s="85" t="e">
        <f>(K31-Budget!K20)/M30</f>
        <v>#DIV/0!</v>
      </c>
      <c r="N31" s="85" t="e">
        <f>(K31-Budget!K20)/N30</f>
        <v>#DIV/0!</v>
      </c>
      <c r="O31" s="85" t="e">
        <f>(K31-Budget!K20)/O30</f>
        <v>#DIV/0!</v>
      </c>
      <c r="P31" s="86" t="e">
        <f>(K31-Budget!K20)/P30</f>
        <v>#DIV/0!</v>
      </c>
    </row>
    <row r="32" spans="2:16" ht="12.75">
      <c r="B32" s="66">
        <v>-0.1</v>
      </c>
      <c r="C32" s="87">
        <f>(0.9*C33)</f>
        <v>494.15460348105</v>
      </c>
      <c r="D32" s="88">
        <f>(C32-Budget!E20)/D30</f>
        <v>1.40956276341913</v>
      </c>
      <c r="E32" s="89">
        <f>(C32-Budget!E20)/E30</f>
        <v>1.2528980937985823</v>
      </c>
      <c r="F32" s="89">
        <f>(C32-Budget!E20)/F30</f>
        <v>1.127625054571231</v>
      </c>
      <c r="G32" s="89">
        <f>(C32-Budget!E20)/G30</f>
        <v>1.0251261599782997</v>
      </c>
      <c r="H32" s="90">
        <f>(C32-Budget!E20)/H30</f>
        <v>0.9396735703489367</v>
      </c>
      <c r="J32" s="66">
        <v>-0.1</v>
      </c>
      <c r="K32" s="87">
        <f>(0.9*K33)</f>
        <v>0</v>
      </c>
      <c r="L32" s="88" t="e">
        <f>(K32-Budget!K20)/L30</f>
        <v>#DIV/0!</v>
      </c>
      <c r="M32" s="89" t="e">
        <f>(K32-Budget!K20)/M30</f>
        <v>#DIV/0!</v>
      </c>
      <c r="N32" s="89" t="e">
        <f>(K32-Budget!K20)/N30</f>
        <v>#DIV/0!</v>
      </c>
      <c r="O32" s="89" t="e">
        <f>(K32-Budget!K20)/O30</f>
        <v>#DIV/0!</v>
      </c>
      <c r="P32" s="90" t="e">
        <f>(K32-Budget!K20)/P30</f>
        <v>#DIV/0!</v>
      </c>
    </row>
    <row r="33" spans="2:16" ht="12.75">
      <c r="B33" s="6" t="s">
        <v>13</v>
      </c>
      <c r="C33" s="87">
        <f>Budget!E104</f>
        <v>549.0606705345</v>
      </c>
      <c r="D33" s="88">
        <f>(C33-Budget!E20)/D30</f>
        <v>1.7157873426352483</v>
      </c>
      <c r="E33" s="89">
        <f>(C33-Budget!E20)/E30</f>
        <v>1.5250875993183624</v>
      </c>
      <c r="F33" s="89">
        <f>(C33-Budget!E20)/F30</f>
        <v>1.3725992528197923</v>
      </c>
      <c r="G33" s="89">
        <f>(C33-Budget!E20)/G30</f>
        <v>1.2478326865194291</v>
      </c>
      <c r="H33" s="90">
        <f>(C33-Budget!E20)/H30</f>
        <v>1.1438156994887718</v>
      </c>
      <c r="J33" s="6" t="s">
        <v>13</v>
      </c>
      <c r="K33" s="87">
        <f>Budget!K104</f>
        <v>0</v>
      </c>
      <c r="L33" s="88" t="e">
        <f>(K33-Budget!K20)/L30</f>
        <v>#DIV/0!</v>
      </c>
      <c r="M33" s="89" t="e">
        <f>(K33-Budget!K20)/M30</f>
        <v>#DIV/0!</v>
      </c>
      <c r="N33" s="89" t="e">
        <f>(K33-Budget!K20)/N30</f>
        <v>#DIV/0!</v>
      </c>
      <c r="O33" s="89" t="e">
        <f>(K33-Budget!K20)/O30</f>
        <v>#DIV/0!</v>
      </c>
      <c r="P33" s="90" t="e">
        <f>(K33-Budget!K20)/P30</f>
        <v>#DIV/0!</v>
      </c>
    </row>
    <row r="34" spans="2:16" ht="12.75">
      <c r="B34" s="75" t="s">
        <v>82</v>
      </c>
      <c r="C34" s="87">
        <f>(1.1*C33)</f>
        <v>603.9667375879501</v>
      </c>
      <c r="D34" s="88">
        <f>(C34-Budget!E20)/D30</f>
        <v>2.0220119218513672</v>
      </c>
      <c r="E34" s="89">
        <f>(C34-Budget!E20)/E30</f>
        <v>1.7972771048381426</v>
      </c>
      <c r="F34" s="89">
        <f>(C34-Budget!E20)/F30</f>
        <v>1.6175734510683537</v>
      </c>
      <c r="G34" s="89">
        <f>(C34-Budget!E20)/G30</f>
        <v>1.4705392130605588</v>
      </c>
      <c r="H34" s="90">
        <f>(C34-Budget!E20)/H30</f>
        <v>1.3479578286286071</v>
      </c>
      <c r="J34" s="75" t="s">
        <v>82</v>
      </c>
      <c r="K34" s="87">
        <f>(1.1*K33)</f>
        <v>0</v>
      </c>
      <c r="L34" s="88" t="e">
        <f>(K34-Budget!K20)/L30</f>
        <v>#DIV/0!</v>
      </c>
      <c r="M34" s="89" t="e">
        <f>(K34-Budget!K20)/M30</f>
        <v>#DIV/0!</v>
      </c>
      <c r="N34" s="89" t="e">
        <f>(K34-Budget!K20)/N30</f>
        <v>#DIV/0!</v>
      </c>
      <c r="O34" s="89" t="e">
        <f>(K34-Budget!K20)/O30</f>
        <v>#DIV/0!</v>
      </c>
      <c r="P34" s="90" t="e">
        <f>(K34-Budget!K20)/P30</f>
        <v>#DIV/0!</v>
      </c>
    </row>
    <row r="35" spans="2:16" ht="13.5" thickBot="1">
      <c r="B35" s="66" t="s">
        <v>83</v>
      </c>
      <c r="C35" s="91">
        <f>(1.2*C33)</f>
        <v>658.8728046414</v>
      </c>
      <c r="D35" s="92">
        <f>(C35-Budget!E20)/D30</f>
        <v>2.3282365010674844</v>
      </c>
      <c r="E35" s="93">
        <f>(C35-Budget!E20)/E30</f>
        <v>2.069466610357922</v>
      </c>
      <c r="F35" s="93">
        <f>(C35/F30)</f>
        <v>2.9396903789827333</v>
      </c>
      <c r="G35" s="93">
        <f>(C35-Budget!E20)/G30</f>
        <v>1.6932457396016873</v>
      </c>
      <c r="H35" s="94">
        <f>(C35-Budget!E20)/H30</f>
        <v>1.5520999577684416</v>
      </c>
      <c r="J35" s="66" t="s">
        <v>83</v>
      </c>
      <c r="K35" s="91">
        <f>(1.2*K33)</f>
        <v>0</v>
      </c>
      <c r="L35" s="92" t="e">
        <f>(K35-Budget!K20)/L30</f>
        <v>#DIV/0!</v>
      </c>
      <c r="M35" s="93" t="e">
        <f>(K35-Budget!K20)/M30</f>
        <v>#DIV/0!</v>
      </c>
      <c r="N35" s="93" t="e">
        <f>(K35/N30)</f>
        <v>#DIV/0!</v>
      </c>
      <c r="O35" s="93" t="e">
        <f>(K35-Budget!K20)/O30</f>
        <v>#DIV/0!</v>
      </c>
      <c r="P35" s="94" t="e">
        <f>(K35-Budget!K20)/P30</f>
        <v>#DIV/0!</v>
      </c>
    </row>
  </sheetData>
  <sheetProtection password="C610" sheet="1"/>
  <mergeCells count="6">
    <mergeCell ref="M9:N9"/>
    <mergeCell ref="E9:F9"/>
    <mergeCell ref="E26:F26"/>
    <mergeCell ref="E11:F11"/>
    <mergeCell ref="M26:N26"/>
    <mergeCell ref="M11:N11"/>
  </mergeCells>
  <printOptions/>
  <pageMargins left="0.75" right="0.75" top="1" bottom="1" header="0.5" footer="0.5"/>
  <pageSetup orientation="portrait" paperSize="9"/>
  <ignoredErrors>
    <ignoredError sqref="B20:B21 B34:B35 J20:J29 J30:J35 G22:G29 O22:O29 G15:G16 H15:H16 H22:H29 O15:O16 P15:P16 P22:P29" numberStoredAsText="1"/>
    <ignoredError sqref="K34 K31:K32 N35 K35 L31:M35 O31:P35 N31:N34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I23"/>
  <sheetViews>
    <sheetView zoomScale="85" zoomScaleNormal="85" zoomScalePageLayoutView="0" workbookViewId="0" topLeftCell="A1">
      <selection activeCell="O22" sqref="O22"/>
    </sheetView>
  </sheetViews>
  <sheetFormatPr defaultColWidth="9.140625" defaultRowHeight="12.75"/>
  <cols>
    <col min="1" max="1" width="24.57421875" style="0" customWidth="1"/>
    <col min="2" max="2" width="26.7109375" style="0" customWidth="1"/>
    <col min="3" max="3" width="13.140625" style="0" customWidth="1"/>
  </cols>
  <sheetData>
    <row r="8" spans="1:2" ht="15.75">
      <c r="A8" s="107" t="s">
        <v>115</v>
      </c>
      <c r="B8" s="2"/>
    </row>
    <row r="9" spans="1:2" ht="15.75">
      <c r="A9" s="107" t="s">
        <v>53</v>
      </c>
      <c r="B9" s="2"/>
    </row>
    <row r="11" spans="1:9" ht="12.75">
      <c r="A11" s="12" t="s">
        <v>18</v>
      </c>
      <c r="B11" s="12" t="s">
        <v>19</v>
      </c>
      <c r="C11" s="12" t="s">
        <v>20</v>
      </c>
      <c r="D11" s="12" t="s">
        <v>21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</row>
    <row r="12" spans="1:9" ht="12.75">
      <c r="A12" s="12"/>
      <c r="B12" s="12"/>
      <c r="C12" s="12"/>
      <c r="D12" s="12"/>
      <c r="E12" s="12"/>
      <c r="F12" s="12"/>
      <c r="G12" s="12"/>
      <c r="H12" s="12" t="s">
        <v>27</v>
      </c>
      <c r="I12" s="12" t="s">
        <v>28</v>
      </c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t="s">
        <v>75</v>
      </c>
      <c r="B14" t="s">
        <v>76</v>
      </c>
      <c r="C14" s="13">
        <v>6.98</v>
      </c>
      <c r="D14" s="13">
        <v>3.85</v>
      </c>
      <c r="E14" s="13">
        <v>1.98</v>
      </c>
      <c r="F14" s="13">
        <v>3.88</v>
      </c>
      <c r="G14" s="13">
        <v>2.4</v>
      </c>
      <c r="H14" s="3">
        <v>2</v>
      </c>
      <c r="I14" s="13">
        <f>SUM(C14:G14)/H14</f>
        <v>9.545</v>
      </c>
    </row>
    <row r="15" spans="1:9" ht="12.75">
      <c r="A15" s="14" t="s">
        <v>109</v>
      </c>
      <c r="B15" t="s">
        <v>72</v>
      </c>
      <c r="C15" s="13">
        <v>3.97</v>
      </c>
      <c r="D15" s="13">
        <v>2.25</v>
      </c>
      <c r="E15" s="13">
        <v>4.13</v>
      </c>
      <c r="F15" s="13">
        <v>3.99</v>
      </c>
      <c r="G15" s="13">
        <v>2.93</v>
      </c>
      <c r="H15" s="3">
        <v>1</v>
      </c>
      <c r="I15" s="13">
        <f>SUM(C15:G15)*H15</f>
        <v>17.270000000000003</v>
      </c>
    </row>
    <row r="16" spans="1:9" ht="12.75">
      <c r="A16" s="14" t="s">
        <v>110</v>
      </c>
      <c r="B16" t="s">
        <v>104</v>
      </c>
      <c r="C16" s="13">
        <v>5.99</v>
      </c>
      <c r="D16" s="13">
        <v>4.49</v>
      </c>
      <c r="E16" s="13">
        <v>2.56</v>
      </c>
      <c r="F16" s="13">
        <v>2.7</v>
      </c>
      <c r="G16" s="13">
        <v>1.18</v>
      </c>
      <c r="H16" s="3">
        <v>2</v>
      </c>
      <c r="I16" s="13">
        <f>SUM(C16:G16)/H16</f>
        <v>8.46</v>
      </c>
    </row>
    <row r="17" spans="1:9" ht="12.75">
      <c r="A17" t="s">
        <v>77</v>
      </c>
      <c r="B17" t="s">
        <v>105</v>
      </c>
      <c r="C17" s="13">
        <v>37.2</v>
      </c>
      <c r="D17" s="13">
        <v>16.01</v>
      </c>
      <c r="E17" s="13">
        <v>12.22</v>
      </c>
      <c r="F17" s="13">
        <v>12.68</v>
      </c>
      <c r="G17" s="13">
        <v>17.79</v>
      </c>
      <c r="H17" s="3">
        <v>2</v>
      </c>
      <c r="I17" s="13">
        <f>SUM(C17:G17)/H17</f>
        <v>47.95</v>
      </c>
    </row>
    <row r="18" spans="1:9" ht="12.75">
      <c r="A18" t="s">
        <v>29</v>
      </c>
      <c r="B18" t="s">
        <v>106</v>
      </c>
      <c r="C18" s="13">
        <v>3.26</v>
      </c>
      <c r="D18" s="13">
        <v>1.18</v>
      </c>
      <c r="E18" s="13">
        <v>2.64</v>
      </c>
      <c r="F18" s="13">
        <v>2.56</v>
      </c>
      <c r="G18" s="13">
        <v>1.63</v>
      </c>
      <c r="H18" s="3">
        <v>2</v>
      </c>
      <c r="I18" s="13">
        <f>SUM(C18:G18)/H18</f>
        <v>5.635</v>
      </c>
    </row>
    <row r="19" spans="1:9" ht="12.75">
      <c r="A19" t="s">
        <v>73</v>
      </c>
      <c r="B19" t="s">
        <v>74</v>
      </c>
      <c r="C19" s="13">
        <v>1.71</v>
      </c>
      <c r="D19" s="13">
        <v>0.83</v>
      </c>
      <c r="E19" s="13">
        <v>2.42</v>
      </c>
      <c r="F19" s="13">
        <v>1.86</v>
      </c>
      <c r="G19" s="13">
        <v>1.08</v>
      </c>
      <c r="H19" s="3">
        <v>2</v>
      </c>
      <c r="I19" s="13">
        <f>SUM(C19:G19)/H19</f>
        <v>3.95</v>
      </c>
    </row>
    <row r="20" spans="1:9" ht="12.75">
      <c r="A20" s="14" t="s">
        <v>87</v>
      </c>
      <c r="B20" t="s">
        <v>88</v>
      </c>
      <c r="C20" s="13">
        <v>3.92</v>
      </c>
      <c r="D20" s="13">
        <v>2.46</v>
      </c>
      <c r="E20" s="13">
        <v>1.31</v>
      </c>
      <c r="F20" s="13">
        <v>3.68</v>
      </c>
      <c r="G20" s="13">
        <v>1.62</v>
      </c>
      <c r="H20" s="3">
        <v>1</v>
      </c>
      <c r="I20" s="13">
        <f>SUM(C20:G20)*H20</f>
        <v>12.989999999999998</v>
      </c>
    </row>
    <row r="21" spans="1:9" ht="12.75">
      <c r="A21" t="s">
        <v>30</v>
      </c>
      <c r="C21" s="13" t="s">
        <v>17</v>
      </c>
      <c r="D21" s="13"/>
      <c r="E21" s="13"/>
      <c r="F21" s="13">
        <f>SUM(F14:F20)*0.15</f>
        <v>4.7025</v>
      </c>
      <c r="G21" s="13"/>
      <c r="H21" s="13"/>
      <c r="I21" s="13"/>
    </row>
    <row r="22" spans="3:9" ht="12.75">
      <c r="C22" s="13"/>
      <c r="D22" s="13"/>
      <c r="E22" s="13"/>
      <c r="F22" s="13"/>
      <c r="G22" s="13"/>
      <c r="H22" s="13"/>
      <c r="I22" s="13"/>
    </row>
    <row r="23" spans="1:9" ht="12.75">
      <c r="A23" t="s">
        <v>31</v>
      </c>
      <c r="C23" s="13">
        <f>SUM(C14:C22)</f>
        <v>63.03</v>
      </c>
      <c r="D23" s="13">
        <f>SUM(D14:D22)</f>
        <v>31.07</v>
      </c>
      <c r="E23" s="13">
        <f>SUM(E14:E22)</f>
        <v>27.26</v>
      </c>
      <c r="F23" s="13">
        <f>SUM(F14:F22)</f>
        <v>36.052499999999995</v>
      </c>
      <c r="G23" s="13">
        <f>SUM(G14:G22)</f>
        <v>28.63</v>
      </c>
      <c r="H23" s="13"/>
      <c r="I23" s="13">
        <f>SUM(C23:G23)</f>
        <v>186.0425</v>
      </c>
    </row>
  </sheetData>
  <sheetProtection password="C610" sheet="1"/>
  <printOptions/>
  <pageMargins left="0.75" right="0.75" top="1" bottom="1" header="0.5" footer="0.5"/>
  <pageSetup orientation="landscape" r:id="rId2"/>
  <ignoredErrors>
    <ignoredError sqref="I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cp:lastPrinted>2007-05-08T19:33:22Z</cp:lastPrinted>
  <dcterms:created xsi:type="dcterms:W3CDTF">2006-06-24T15:43:23Z</dcterms:created>
  <dcterms:modified xsi:type="dcterms:W3CDTF">2014-03-25T14:41:29Z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