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0"/>
  </bookViews>
  <sheets>
    <sheet name="Budget" sheetId="1" r:id="rId1"/>
    <sheet name="Analyses" sheetId="2" r:id="rId2"/>
    <sheet name="Machinery Expenses" sheetId="3" r:id="rId3"/>
  </sheets>
  <definedNames>
    <definedName name="_xlnm.Print_Area" localSheetId="0">'Budget'!$A$1:$K$121</definedName>
  </definedNames>
  <calcPr fullCalcOnLoad="1"/>
</workbook>
</file>

<file path=xl/sharedStrings.xml><?xml version="1.0" encoding="utf-8"?>
<sst xmlns="http://schemas.openxmlformats.org/spreadsheetml/2006/main" count="278" uniqueCount="129">
  <si>
    <t>($)</t>
  </si>
  <si>
    <t>acre</t>
  </si>
  <si>
    <t>Unit</t>
  </si>
  <si>
    <t>Quantity</t>
  </si>
  <si>
    <t>Price</t>
  </si>
  <si>
    <t>Amount</t>
  </si>
  <si>
    <t>($/acre)</t>
  </si>
  <si>
    <t>Interest on Operating Capital - 6 months</t>
  </si>
  <si>
    <t>Fixed Expenses</t>
  </si>
  <si>
    <t>Labor Expenses</t>
  </si>
  <si>
    <t>hour</t>
  </si>
  <si>
    <t>Sub-Total</t>
  </si>
  <si>
    <t>Total Costs</t>
  </si>
  <si>
    <t>Total</t>
  </si>
  <si>
    <t xml:space="preserve">   Electricity</t>
  </si>
  <si>
    <t xml:space="preserve">   Engine Lubrication</t>
  </si>
  <si>
    <t xml:space="preserve">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</si>
  <si>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</si>
  <si>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</si>
  <si>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</si>
  <si>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</si>
  <si>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</si>
  <si>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</si>
  <si>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</si>
  <si>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</si>
  <si>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</si>
  <si>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</si>
  <si>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</si>
  <si>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Tractor 075 HP</t>
  </si>
  <si>
    <t>Tractor 100 HP</t>
  </si>
  <si>
    <t>Engine Lubrication</t>
  </si>
  <si>
    <t>Totals</t>
  </si>
  <si>
    <t>University of Wisconsin Center for Dairy Profitability</t>
  </si>
  <si>
    <t>bu/acre</t>
  </si>
  <si>
    <t>Operating Costs</t>
  </si>
  <si>
    <t>Input Expenses</t>
  </si>
  <si>
    <t>Fertility</t>
  </si>
  <si>
    <t>9-23-30 Starter Fertilizer</t>
  </si>
  <si>
    <t>Urea 46-0-0</t>
  </si>
  <si>
    <t>Phosphorus 0-46-0</t>
  </si>
  <si>
    <t>Seed Plants</t>
  </si>
  <si>
    <t>Corn Seed</t>
  </si>
  <si>
    <t>bag</t>
  </si>
  <si>
    <t>Miscellaneous</t>
  </si>
  <si>
    <t>Custom fertilizer spreading</t>
  </si>
  <si>
    <t>Weed Control</t>
  </si>
  <si>
    <t>Hornet WDG</t>
  </si>
  <si>
    <t>Insect Control</t>
  </si>
  <si>
    <t>gal</t>
  </si>
  <si>
    <t xml:space="preserve">   Diesel Fuel</t>
  </si>
  <si>
    <t xml:space="preserve">   Gasoline</t>
  </si>
  <si>
    <t>Energy Expenses</t>
  </si>
  <si>
    <t xml:space="preserve">   LP Gas</t>
  </si>
  <si>
    <t>KW hr</t>
  </si>
  <si>
    <t>Repairs and Maintenance</t>
  </si>
  <si>
    <t xml:space="preserve">   Power Units</t>
  </si>
  <si>
    <t xml:space="preserve">   Implements</t>
  </si>
  <si>
    <t xml:space="preserve">   Durables</t>
  </si>
  <si>
    <t>% of Income</t>
  </si>
  <si>
    <t>Interest and Insurance Expenses</t>
  </si>
  <si>
    <t>Depreciation Expenses</t>
  </si>
  <si>
    <t xml:space="preserve">Annual machinery expenses </t>
  </si>
  <si>
    <t>Example Farm</t>
  </si>
  <si>
    <t>Your Farm</t>
  </si>
  <si>
    <t>Products</t>
  </si>
  <si>
    <t>Enter your farm values in the blue boxes.</t>
  </si>
  <si>
    <t>lbs of product</t>
  </si>
  <si>
    <t xml:space="preserve"> Starter Fertilizer</t>
  </si>
  <si>
    <t>Nitrogen fertilizer</t>
  </si>
  <si>
    <t>Potassium 0-0-60</t>
  </si>
  <si>
    <t>Land ownership costs</t>
  </si>
  <si>
    <t xml:space="preserve">  for many of the field operations needed to till, plant, and harvest the corn crop.   In place of these values, one can use the cumulative value per acre from the </t>
  </si>
  <si>
    <t>Risk Analyses</t>
  </si>
  <si>
    <t xml:space="preserve">     (Value of Production less Total Costs as Price and Yield Vary)</t>
  </si>
  <si>
    <t xml:space="preserve">  (Value of Production less Total Costs as Price and Yield Vary)</t>
  </si>
  <si>
    <t>+10%</t>
  </si>
  <si>
    <t>+20%</t>
  </si>
  <si>
    <t xml:space="preserve">     Yield</t>
  </si>
  <si>
    <t>Sensitvity Analysis</t>
  </si>
  <si>
    <t xml:space="preserve">                (Break-Even Yields as Price and Total Costs Vary)</t>
  </si>
  <si>
    <t>Harness</t>
  </si>
  <si>
    <t>None</t>
  </si>
  <si>
    <t>Tractor 060 HP</t>
  </si>
  <si>
    <t>Phosphorus 18-46-0</t>
  </si>
  <si>
    <t>pt</t>
  </si>
  <si>
    <t>oz</t>
  </si>
  <si>
    <t>Total Operating Costs per Acre</t>
  </si>
  <si>
    <t>Total Costs per Acre</t>
  </si>
  <si>
    <t>Return to Operator per Acre</t>
  </si>
  <si>
    <t>Return to Land and Operator per Acre</t>
  </si>
  <si>
    <t xml:space="preserve">Management charge </t>
  </si>
  <si>
    <t>Total Fixed Expenses per Acre</t>
  </si>
  <si>
    <t>Government payments</t>
  </si>
  <si>
    <r>
      <t>Government payments</t>
    </r>
    <r>
      <rPr>
        <vertAlign val="superscript"/>
        <sz val="10"/>
        <rFont val="Arial"/>
        <family val="2"/>
      </rPr>
      <t>1</t>
    </r>
  </si>
  <si>
    <t>Crop insurance</t>
  </si>
  <si>
    <t>Fertilizer spreading</t>
  </si>
  <si>
    <t>Hauling</t>
  </si>
  <si>
    <t>Corn silage</t>
  </si>
  <si>
    <t>tons dry matter</t>
  </si>
  <si>
    <t>Pest scouting</t>
  </si>
  <si>
    <t>Roundup Weathermax</t>
  </si>
  <si>
    <t>Total Operating Costs per Ton</t>
  </si>
  <si>
    <t>Total Cost per Ton</t>
  </si>
  <si>
    <t>$ per ton</t>
  </si>
  <si>
    <t>(Enter % in I73)</t>
  </si>
  <si>
    <r>
      <t>Fertility</t>
    </r>
    <r>
      <rPr>
        <vertAlign val="superscript"/>
        <sz val="10"/>
        <rFont val="Arial"/>
        <family val="2"/>
      </rPr>
      <t>2</t>
    </r>
  </si>
  <si>
    <t>Management charge (enter % of income in I85)</t>
  </si>
  <si>
    <r>
      <t xml:space="preserve">2 </t>
    </r>
    <r>
      <rPr>
        <sz val="10"/>
        <rFont val="Arial"/>
        <family val="2"/>
      </rPr>
      <t>A 150 pounds nitrogen per acre credit for alfalfa for first year corn after alfalfa taken.</t>
    </r>
  </si>
  <si>
    <r>
      <t>3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</si>
  <si>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r>
      <t>Custom Rate Charges</t>
    </r>
    <r>
      <rPr>
        <vertAlign val="superscript"/>
        <sz val="10"/>
        <rFont val="Arial"/>
        <family val="2"/>
      </rPr>
      <t>3</t>
    </r>
  </si>
  <si>
    <t xml:space="preserve">Tractor 200 HP MFWD </t>
  </si>
  <si>
    <t>Plow, Disc-chisel 16.3 ft</t>
  </si>
  <si>
    <t>Tractor 160 HP MFWD</t>
  </si>
  <si>
    <t>Disk, tandem 21 ft</t>
  </si>
  <si>
    <t>Planter 06-30 Minimum till</t>
  </si>
  <si>
    <t>Sprayer 45 ft</t>
  </si>
  <si>
    <t>Forage harvester, pull type</t>
  </si>
  <si>
    <t>Forage wagon 18 ft</t>
  </si>
  <si>
    <t>Blower, forage</t>
  </si>
  <si>
    <t xml:space="preserve">Tractor 130 HP MFWD </t>
  </si>
  <si>
    <t xml:space="preserve">  Wisconsin's 2010 Custom Rate Guide.  </t>
  </si>
  <si>
    <t>Revenue Protection - Corn Silage 70%</t>
  </si>
  <si>
    <t>Field cultivator 23 ft</t>
  </si>
  <si>
    <t>This budget was developed with the Cost Accounting and Planning (CAP) software , version 2011.9.</t>
  </si>
  <si>
    <t xml:space="preserve">   Diesel Fuel (with WI tax credit)</t>
  </si>
  <si>
    <t xml:space="preserve">   Gasoline (with WI tax credit)</t>
  </si>
  <si>
    <t>Corn Silage after Alfalfa Budget for Wisconsin in 2014</t>
  </si>
  <si>
    <r>
      <t>1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Starting in 2014, there are no longer any direct payments.</t>
    </r>
  </si>
  <si>
    <t>Developed by Ken Barnett, March 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</si>
</sst>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#0;###0"/>
    <numFmt numFmtId="171" formatCode="###0.00;###0.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hair"/>
      <right style="hair"/>
      <top style="hair"/>
      <bottom style="hair"/>
    </border>
    <border>
      <left/>
      <right/>
      <top/>
      <bottom style="medium"/>
    </border>
    <border>
      <left/>
      <right style="thick"/>
      <top/>
      <bottom/>
    </border>
    <border>
      <left/>
      <right style="thick"/>
      <top/>
      <bottom style="medium"/>
    </border>
    <border>
      <left style="thick"/>
      <right/>
      <top/>
      <bottom/>
    </border>
    <border>
      <left style="hair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ck"/>
      <right/>
      <top/>
      <bottom style="medium"/>
    </border>
    <border>
      <left style="thick"/>
      <right style="hair"/>
      <top style="hair"/>
      <bottom style="hair"/>
    </border>
    <border>
      <left/>
      <right style="hair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7" fillId="33" borderId="0" xfId="0" applyFont="1" applyFill="1" applyAlignment="1" quotePrefix="1">
      <alignment horizontal="left"/>
    </xf>
    <xf numFmtId="0" fontId="7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 horizontal="center"/>
    </xf>
    <xf numFmtId="2" fontId="0" fillId="33" borderId="1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0" fontId="10" fillId="0" borderId="0" xfId="52" applyFont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0" fillId="0" borderId="15" xfId="0" applyBorder="1" applyAlignment="1">
      <alignment horizontal="right"/>
    </xf>
    <xf numFmtId="2" fontId="0" fillId="0" borderId="16" xfId="0" applyNumberFormat="1" applyFill="1" applyBorder="1" applyAlignment="1" applyProtection="1">
      <alignment horizontal="center"/>
      <protection/>
    </xf>
    <xf numFmtId="10" fontId="0" fillId="33" borderId="11" xfId="0" applyNumberFormat="1" applyFill="1" applyBorder="1" applyAlignment="1" applyProtection="1">
      <alignment horizontal="center"/>
      <protection locked="0"/>
    </xf>
    <xf numFmtId="2" fontId="2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right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9" fontId="2" fillId="0" borderId="0" xfId="0" applyNumberFormat="1" applyFont="1" applyAlignment="1">
      <alignment horizontal="right"/>
    </xf>
    <xf numFmtId="2" fontId="0" fillId="0" borderId="20" xfId="0" applyNumberFormat="1" applyBorder="1" applyAlignment="1">
      <alignment/>
    </xf>
    <xf numFmtId="8" fontId="0" fillId="0" borderId="21" xfId="0" applyNumberFormat="1" applyBorder="1" applyAlignment="1">
      <alignment horizontal="center"/>
    </xf>
    <xf numFmtId="8" fontId="0" fillId="0" borderId="22" xfId="0" applyNumberFormat="1" applyBorder="1" applyAlignment="1">
      <alignment horizontal="center"/>
    </xf>
    <xf numFmtId="8" fontId="0" fillId="0" borderId="23" xfId="0" applyNumberFormat="1" applyBorder="1" applyAlignment="1">
      <alignment horizontal="center"/>
    </xf>
    <xf numFmtId="8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/>
    </xf>
    <xf numFmtId="8" fontId="0" fillId="0" borderId="26" xfId="0" applyNumberFormat="1" applyBorder="1" applyAlignment="1">
      <alignment horizontal="center"/>
    </xf>
    <xf numFmtId="8" fontId="0" fillId="0" borderId="27" xfId="0" applyNumberFormat="1" applyBorder="1" applyAlignment="1">
      <alignment horizontal="center"/>
    </xf>
    <xf numFmtId="49" fontId="2" fillId="0" borderId="0" xfId="0" applyNumberFormat="1" applyFont="1" applyAlignment="1">
      <alignment horizontal="right"/>
    </xf>
    <xf numFmtId="2" fontId="0" fillId="0" borderId="28" xfId="0" applyNumberFormat="1" applyBorder="1" applyAlignment="1">
      <alignment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20" xfId="0" applyNumberFormat="1" applyBorder="1" applyAlignment="1">
      <alignment/>
    </xf>
    <xf numFmtId="2" fontId="0" fillId="0" borderId="35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/>
    </xf>
    <xf numFmtId="2" fontId="0" fillId="0" borderId="37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 horizontal="center"/>
    </xf>
    <xf numFmtId="0" fontId="4" fillId="0" borderId="15" xfId="0" applyFont="1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5" xfId="0" applyBorder="1" applyAlignment="1">
      <alignment horizontal="left"/>
    </xf>
    <xf numFmtId="14" fontId="0" fillId="0" borderId="15" xfId="0" applyNumberFormat="1" applyBorder="1" applyAlignment="1">
      <alignment horizontal="right"/>
    </xf>
    <xf numFmtId="2" fontId="0" fillId="33" borderId="39" xfId="0" applyNumberFormat="1" applyFill="1" applyBorder="1" applyAlignment="1" applyProtection="1">
      <alignment horizontal="center"/>
      <protection locked="0"/>
    </xf>
    <xf numFmtId="2" fontId="12" fillId="0" borderId="15" xfId="0" applyNumberFormat="1" applyFont="1" applyFill="1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left"/>
      <protection/>
    </xf>
    <xf numFmtId="0" fontId="2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0" xfId="52" applyAlignment="1" applyProtection="1">
      <alignment/>
      <protection/>
    </xf>
    <xf numFmtId="0" fontId="2" fillId="0" borderId="12" xfId="0" applyFont="1" applyBorder="1" applyAlignment="1">
      <alignment horizontal="center"/>
    </xf>
    <xf numFmtId="14" fontId="0" fillId="0" borderId="0" xfId="0" applyNumberFormat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center"/>
      <protection/>
    </xf>
    <xf numFmtId="0" fontId="13" fillId="0" borderId="0" xfId="0" applyFont="1" applyAlignment="1">
      <alignment horizontal="right"/>
    </xf>
    <xf numFmtId="0" fontId="13" fillId="0" borderId="0" xfId="0" applyFont="1" applyAlignment="1" applyProtection="1" quotePrefix="1">
      <alignment horizontal="center"/>
      <protection/>
    </xf>
    <xf numFmtId="2" fontId="13" fillId="0" borderId="0" xfId="0" applyNumberFormat="1" applyFont="1" applyAlignment="1">
      <alignment horizontal="center"/>
    </xf>
    <xf numFmtId="165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0" fontId="0" fillId="0" borderId="0" xfId="0" applyNumberFormat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2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2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5" xfId="0" applyFont="1" applyBorder="1" applyAlignment="1">
      <alignment horizontal="right"/>
    </xf>
    <xf numFmtId="0" fontId="0" fillId="0" borderId="0" xfId="0" applyAlignment="1" applyProtection="1">
      <alignment/>
      <protection/>
    </xf>
    <xf numFmtId="2" fontId="0" fillId="0" borderId="15" xfId="0" applyNumberFormat="1" applyFill="1" applyBorder="1" applyAlignment="1" applyProtection="1">
      <alignment horizontal="right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34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1895475</xdr:colOff>
      <xdr:row>3</xdr:row>
      <xdr:rowOff>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125</xdr:row>
      <xdr:rowOff>161925</xdr:rowOff>
    </xdr:from>
    <xdr:to>
      <xdr:col>6</xdr:col>
      <xdr:colOff>942975</xdr:colOff>
      <xdr:row>134</xdr:row>
      <xdr:rowOff>0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20669250"/>
          <a:ext cx="2066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0</xdr:row>
      <xdr:rowOff>85725</xdr:rowOff>
    </xdr:from>
    <xdr:to>
      <xdr:col>10</xdr:col>
      <xdr:colOff>561975</xdr:colOff>
      <xdr:row>4</xdr:row>
      <xdr:rowOff>66675</xdr:rowOff>
    </xdr:to>
    <xdr:pic>
      <xdr:nvPicPr>
        <xdr:cNvPr id="3" name="Picture 6" descr="Team Grains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58350" y="85725"/>
          <a:ext cx="2333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47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41</xdr:row>
      <xdr:rowOff>47625</xdr:rowOff>
    </xdr:from>
    <xdr:to>
      <xdr:col>9</xdr:col>
      <xdr:colOff>752475</xdr:colOff>
      <xdr:row>49</xdr:row>
      <xdr:rowOff>47625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68199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371475</xdr:colOff>
      <xdr:row>0</xdr:row>
      <xdr:rowOff>142875</xdr:rowOff>
    </xdr:from>
    <xdr:to>
      <xdr:col>15</xdr:col>
      <xdr:colOff>647700</xdr:colOff>
      <xdr:row>5</xdr:row>
      <xdr:rowOff>123825</xdr:rowOff>
    </xdr:to>
    <xdr:pic>
      <xdr:nvPicPr>
        <xdr:cNvPr id="3" name="Picture 4" descr="Team Grains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24900" y="142875"/>
          <a:ext cx="2333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2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95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26</xdr:row>
      <xdr:rowOff>133350</xdr:rowOff>
    </xdr:from>
    <xdr:to>
      <xdr:col>5</xdr:col>
      <xdr:colOff>266700</xdr:colOff>
      <xdr:row>36</xdr:row>
      <xdr:rowOff>19050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4419600"/>
          <a:ext cx="20574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104775</xdr:rowOff>
    </xdr:from>
    <xdr:to>
      <xdr:col>8</xdr:col>
      <xdr:colOff>581025</xdr:colOff>
      <xdr:row>4</xdr:row>
      <xdr:rowOff>85725</xdr:rowOff>
    </xdr:to>
    <xdr:pic>
      <xdr:nvPicPr>
        <xdr:cNvPr id="3" name="Picture 5" descr="Team Grains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104775"/>
          <a:ext cx="2324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3"/>
  <sheetViews>
    <sheetView tabSelected="1" zoomScale="75" zoomScaleNormal="75" zoomScalePageLayoutView="0" workbookViewId="0" topLeftCell="A1">
      <selection activeCell="M23" sqref="M23"/>
    </sheetView>
  </sheetViews>
  <sheetFormatPr defaultColWidth="9.140625" defaultRowHeight="12.75"/>
  <cols>
    <col min="1" max="1" width="38.28125" style="0" customWidth="1"/>
    <col min="2" max="2" width="19.00390625" style="2" customWidth="1"/>
    <col min="3" max="3" width="16.00390625" style="2" customWidth="1"/>
    <col min="4" max="5" width="11.421875" style="2" customWidth="1"/>
    <col min="6" max="6" width="3.140625" style="2" customWidth="1"/>
    <col min="7" max="7" width="39.140625" style="0" customWidth="1"/>
    <col min="8" max="8" width="14.7109375" style="0" customWidth="1"/>
  </cols>
  <sheetData>
    <row r="1" ht="12.75"/>
    <row r="2" ht="12.75">
      <c r="J2" s="135"/>
    </row>
    <row r="3" ht="12.75">
      <c r="J3" s="135"/>
    </row>
    <row r="4" ht="12.75">
      <c r="J4" s="135"/>
    </row>
    <row r="5" ht="12.75"/>
    <row r="6" spans="1:7" ht="18">
      <c r="A6" s="22" t="s">
        <v>126</v>
      </c>
      <c r="G6" s="1"/>
    </row>
    <row r="7" spans="1:7" ht="12.75">
      <c r="A7" s="1"/>
      <c r="G7" s="1"/>
    </row>
    <row r="8" spans="1:7" ht="12.75">
      <c r="A8" s="1"/>
      <c r="G8" s="1"/>
    </row>
    <row r="9" spans="1:7" ht="15.75">
      <c r="A9" s="19" t="s">
        <v>65</v>
      </c>
      <c r="B9" s="21"/>
      <c r="G9" s="11"/>
    </row>
    <row r="10" spans="1:7" ht="12.75">
      <c r="A10" s="11"/>
      <c r="G10" s="11"/>
    </row>
    <row r="11" spans="1:7" ht="15.75">
      <c r="A11" s="20" t="s">
        <v>62</v>
      </c>
      <c r="G11" s="20" t="s">
        <v>63</v>
      </c>
    </row>
    <row r="12" spans="1:7" ht="12.75">
      <c r="A12" s="11"/>
      <c r="G12" s="11"/>
    </row>
    <row r="13" spans="1:11" ht="12.75">
      <c r="A13" s="25"/>
      <c r="B13" s="26" t="s">
        <v>2</v>
      </c>
      <c r="C13" s="26" t="s">
        <v>3</v>
      </c>
      <c r="D13" s="26" t="s">
        <v>4</v>
      </c>
      <c r="E13" s="37" t="s">
        <v>5</v>
      </c>
      <c r="F13" s="26"/>
      <c r="G13" s="80"/>
      <c r="H13" s="12" t="s">
        <v>2</v>
      </c>
      <c r="I13" s="12" t="s">
        <v>3</v>
      </c>
      <c r="J13" s="12" t="s">
        <v>4</v>
      </c>
      <c r="K13" s="12" t="s">
        <v>5</v>
      </c>
    </row>
    <row r="14" spans="1:11" ht="13.5" thickBot="1">
      <c r="A14" s="27"/>
      <c r="B14" s="28"/>
      <c r="C14" s="28"/>
      <c r="D14" s="28" t="s">
        <v>0</v>
      </c>
      <c r="E14" s="38" t="s">
        <v>6</v>
      </c>
      <c r="F14" s="26"/>
      <c r="G14" s="81"/>
      <c r="H14" s="102"/>
      <c r="I14" s="102"/>
      <c r="J14" s="102" t="s">
        <v>0</v>
      </c>
      <c r="K14" s="102" t="s">
        <v>6</v>
      </c>
    </row>
    <row r="15" spans="5:11" ht="12.75">
      <c r="E15" s="82"/>
      <c r="F15" s="43"/>
      <c r="G15" s="80"/>
      <c r="H15" s="2"/>
      <c r="I15" s="2"/>
      <c r="J15" s="2"/>
      <c r="K15" s="2"/>
    </row>
    <row r="16" spans="1:11" ht="12.75">
      <c r="A16" s="9" t="s">
        <v>64</v>
      </c>
      <c r="E16" s="82"/>
      <c r="F16" s="43"/>
      <c r="G16" s="83" t="s">
        <v>64</v>
      </c>
      <c r="H16" s="2"/>
      <c r="I16" s="2"/>
      <c r="J16" s="2"/>
      <c r="K16" s="2"/>
    </row>
    <row r="17" spans="5:11" ht="12.75">
      <c r="E17" s="82"/>
      <c r="F17" s="43"/>
      <c r="G17" s="80"/>
      <c r="H17" s="2"/>
      <c r="I17" s="2"/>
      <c r="J17" s="2"/>
      <c r="K17" s="2"/>
    </row>
    <row r="18" spans="1:11" ht="12.75">
      <c r="A18" t="s">
        <v>97</v>
      </c>
      <c r="B18" s="2" t="s">
        <v>98</v>
      </c>
      <c r="C18" s="3">
        <v>7.37</v>
      </c>
      <c r="D18" s="3">
        <v>115.46</v>
      </c>
      <c r="E18" s="84">
        <f>(C18*D18)</f>
        <v>850.9402</v>
      </c>
      <c r="F18" s="85"/>
      <c r="G18" s="80" t="s">
        <v>97</v>
      </c>
      <c r="H18" s="2" t="s">
        <v>98</v>
      </c>
      <c r="I18" s="24"/>
      <c r="J18" s="24"/>
      <c r="K18" s="3">
        <f>(I18*J18)</f>
        <v>0</v>
      </c>
    </row>
    <row r="19" spans="1:11" ht="14.25">
      <c r="A19" s="124" t="s">
        <v>93</v>
      </c>
      <c r="B19" s="29" t="s">
        <v>33</v>
      </c>
      <c r="C19" s="30">
        <v>0</v>
      </c>
      <c r="D19" s="30">
        <v>0</v>
      </c>
      <c r="E19" s="84">
        <f>(C19*D19)</f>
        <v>0</v>
      </c>
      <c r="F19" s="85"/>
      <c r="G19" s="80" t="s">
        <v>92</v>
      </c>
      <c r="H19" s="29" t="s">
        <v>33</v>
      </c>
      <c r="I19" s="24"/>
      <c r="J19" s="35">
        <v>0</v>
      </c>
      <c r="K19" s="3">
        <f>(I19*J19)</f>
        <v>0</v>
      </c>
    </row>
    <row r="20" spans="3:11" ht="12.75">
      <c r="C20" s="3"/>
      <c r="D20" s="3"/>
      <c r="E20" s="84"/>
      <c r="F20" s="85"/>
      <c r="G20" s="80"/>
      <c r="H20" s="2"/>
      <c r="I20" s="95"/>
      <c r="J20" s="95"/>
      <c r="K20" s="3"/>
    </row>
    <row r="21" spans="3:11" ht="12.75">
      <c r="C21" s="3"/>
      <c r="D21" s="4" t="s">
        <v>13</v>
      </c>
      <c r="E21" s="84">
        <f>SUM(E18:E20)</f>
        <v>850.9402</v>
      </c>
      <c r="F21" s="85"/>
      <c r="G21" s="80"/>
      <c r="H21" s="2"/>
      <c r="I21" s="3"/>
      <c r="J21" s="4" t="s">
        <v>13</v>
      </c>
      <c r="K21" s="3">
        <f>SUM(K18:K20)</f>
        <v>0</v>
      </c>
    </row>
    <row r="22" spans="5:11" ht="12.75">
      <c r="E22" s="82"/>
      <c r="F22" s="43"/>
      <c r="G22" s="80"/>
      <c r="H22" s="2"/>
      <c r="I22" s="2"/>
      <c r="J22" s="2"/>
      <c r="K22" s="2"/>
    </row>
    <row r="23" spans="1:11" ht="12.75">
      <c r="A23" s="9" t="s">
        <v>34</v>
      </c>
      <c r="E23" s="82"/>
      <c r="F23" s="43"/>
      <c r="G23" s="83" t="s">
        <v>34</v>
      </c>
      <c r="H23" s="2"/>
      <c r="I23" s="2"/>
      <c r="J23" s="2"/>
      <c r="K23" s="2"/>
    </row>
    <row r="24" spans="1:11" ht="12.75">
      <c r="A24" s="9"/>
      <c r="E24" s="82"/>
      <c r="F24" s="43"/>
      <c r="G24" s="83"/>
      <c r="H24" s="2"/>
      <c r="I24" s="2"/>
      <c r="J24" s="2"/>
      <c r="K24" s="2"/>
    </row>
    <row r="25" spans="1:11" ht="12.75">
      <c r="A25" s="1" t="s">
        <v>35</v>
      </c>
      <c r="E25" s="82"/>
      <c r="F25" s="43"/>
      <c r="G25" s="86" t="s">
        <v>35</v>
      </c>
      <c r="H25" s="2"/>
      <c r="I25" s="2"/>
      <c r="J25" s="2"/>
      <c r="K25" s="2"/>
    </row>
    <row r="26" spans="1:11" ht="12.75">
      <c r="A26" s="1"/>
      <c r="E26" s="82"/>
      <c r="F26" s="43"/>
      <c r="G26" s="86"/>
      <c r="H26" s="2"/>
      <c r="I26" s="2"/>
      <c r="J26" s="2"/>
      <c r="K26" s="2"/>
    </row>
    <row r="27" spans="1:11" ht="12.75">
      <c r="A27" s="1"/>
      <c r="E27" s="82"/>
      <c r="F27" s="43"/>
      <c r="G27" s="86"/>
      <c r="H27" s="2"/>
      <c r="I27" s="2"/>
      <c r="J27" s="2"/>
      <c r="K27" s="2"/>
    </row>
    <row r="28" spans="1:11" ht="12.75" customHeight="1">
      <c r="A28" s="5" t="s">
        <v>105</v>
      </c>
      <c r="C28" s="3"/>
      <c r="D28" s="3"/>
      <c r="E28" s="84"/>
      <c r="F28" s="85"/>
      <c r="G28" s="87" t="s">
        <v>36</v>
      </c>
      <c r="H28" s="2"/>
      <c r="I28" s="3"/>
      <c r="J28" s="3"/>
      <c r="K28" s="3"/>
    </row>
    <row r="29" spans="1:11" ht="12.75" customHeight="1">
      <c r="A29" s="103" t="s">
        <v>37</v>
      </c>
      <c r="B29" s="34" t="s">
        <v>66</v>
      </c>
      <c r="C29" s="104">
        <v>150</v>
      </c>
      <c r="D29" s="104">
        <v>0.24</v>
      </c>
      <c r="E29" s="84">
        <f>(C29*D29)</f>
        <v>36</v>
      </c>
      <c r="F29" s="85"/>
      <c r="G29" s="88" t="s">
        <v>67</v>
      </c>
      <c r="H29" s="18" t="s">
        <v>66</v>
      </c>
      <c r="I29" s="24"/>
      <c r="J29" s="24"/>
      <c r="K29" s="3">
        <f aca="true" t="shared" si="0" ref="K29:K34">(I29*J29)</f>
        <v>0</v>
      </c>
    </row>
    <row r="30" spans="1:11" ht="12.75" customHeight="1">
      <c r="A30" s="32" t="s">
        <v>38</v>
      </c>
      <c r="B30" s="34" t="s">
        <v>66</v>
      </c>
      <c r="C30" s="104">
        <v>0</v>
      </c>
      <c r="D30" s="104">
        <v>0.24</v>
      </c>
      <c r="E30" s="84">
        <f>(C30*D30)</f>
        <v>0</v>
      </c>
      <c r="F30" s="85"/>
      <c r="G30" s="39" t="s">
        <v>68</v>
      </c>
      <c r="H30" s="18" t="s">
        <v>66</v>
      </c>
      <c r="I30" s="24"/>
      <c r="J30" s="24"/>
      <c r="K30" s="3">
        <f t="shared" si="0"/>
        <v>0</v>
      </c>
    </row>
    <row r="31" spans="1:11" ht="12.75" customHeight="1">
      <c r="A31" s="32" t="s">
        <v>83</v>
      </c>
      <c r="B31" s="34" t="s">
        <v>66</v>
      </c>
      <c r="C31" s="104">
        <v>100</v>
      </c>
      <c r="D31" s="104">
        <v>0.27</v>
      </c>
      <c r="E31" s="84">
        <f>(C31*D31)</f>
        <v>27</v>
      </c>
      <c r="F31" s="85"/>
      <c r="G31" s="39" t="s">
        <v>39</v>
      </c>
      <c r="H31" s="18" t="s">
        <v>66</v>
      </c>
      <c r="I31" s="24"/>
      <c r="J31" s="24"/>
      <c r="K31" s="3">
        <f t="shared" si="0"/>
        <v>0</v>
      </c>
    </row>
    <row r="32" spans="1:11" ht="12.75" customHeight="1">
      <c r="A32" s="4" t="s">
        <v>69</v>
      </c>
      <c r="B32" s="34" t="s">
        <v>66</v>
      </c>
      <c r="C32" s="104">
        <v>235</v>
      </c>
      <c r="D32" s="104">
        <v>0.22</v>
      </c>
      <c r="E32" s="84">
        <f>(C32*D32)</f>
        <v>51.7</v>
      </c>
      <c r="F32" s="85"/>
      <c r="G32" s="39" t="s">
        <v>69</v>
      </c>
      <c r="H32" s="18" t="s">
        <v>66</v>
      </c>
      <c r="I32" s="24"/>
      <c r="J32" s="24"/>
      <c r="K32" s="3">
        <f t="shared" si="0"/>
        <v>0</v>
      </c>
    </row>
    <row r="33" spans="1:11" ht="12.75">
      <c r="A33" s="105"/>
      <c r="B33" s="106"/>
      <c r="C33" s="107"/>
      <c r="D33" s="31"/>
      <c r="E33" s="84"/>
      <c r="F33" s="85"/>
      <c r="G33" s="89"/>
      <c r="H33" s="24"/>
      <c r="I33" s="24"/>
      <c r="J33" s="24"/>
      <c r="K33" s="3">
        <f t="shared" si="0"/>
        <v>0</v>
      </c>
    </row>
    <row r="34" spans="1:11" ht="12.75">
      <c r="A34" s="4"/>
      <c r="C34" s="3"/>
      <c r="D34" s="3"/>
      <c r="E34" s="84"/>
      <c r="F34" s="85"/>
      <c r="G34" s="89"/>
      <c r="H34" s="24"/>
      <c r="I34" s="24"/>
      <c r="J34" s="24"/>
      <c r="K34" s="3">
        <f t="shared" si="0"/>
        <v>0</v>
      </c>
    </row>
    <row r="35" spans="1:11" ht="12.75">
      <c r="A35" s="4"/>
      <c r="C35" s="3"/>
      <c r="D35" s="3"/>
      <c r="E35" s="84"/>
      <c r="F35" s="85"/>
      <c r="G35" s="90"/>
      <c r="H35" s="91"/>
      <c r="I35" s="91"/>
      <c r="J35" s="92"/>
      <c r="K35" s="3"/>
    </row>
    <row r="36" spans="1:11" ht="12.75">
      <c r="A36" s="5" t="s">
        <v>40</v>
      </c>
      <c r="C36" s="3"/>
      <c r="D36" s="3"/>
      <c r="E36" s="84"/>
      <c r="F36" s="85"/>
      <c r="G36" s="87" t="s">
        <v>40</v>
      </c>
      <c r="H36" s="2"/>
      <c r="I36" s="3"/>
      <c r="J36" s="3"/>
      <c r="K36" s="3"/>
    </row>
    <row r="37" spans="1:11" ht="12.75">
      <c r="A37" s="4" t="s">
        <v>41</v>
      </c>
      <c r="B37" s="2" t="s">
        <v>42</v>
      </c>
      <c r="C37" s="108">
        <v>0.394</v>
      </c>
      <c r="D37" s="30">
        <v>155</v>
      </c>
      <c r="E37" s="84">
        <f>(C37*D37)</f>
        <v>61.07</v>
      </c>
      <c r="F37" s="85"/>
      <c r="G37" s="39" t="s">
        <v>41</v>
      </c>
      <c r="H37" s="2" t="s">
        <v>42</v>
      </c>
      <c r="I37" s="24"/>
      <c r="J37" s="24"/>
      <c r="K37" s="3">
        <f>(I37*J37)</f>
        <v>0</v>
      </c>
    </row>
    <row r="38" spans="1:11" ht="12.75">
      <c r="A38" s="4"/>
      <c r="C38" s="3"/>
      <c r="D38" s="3"/>
      <c r="E38" s="84"/>
      <c r="F38" s="85"/>
      <c r="G38" s="39"/>
      <c r="H38" s="2"/>
      <c r="I38" s="93"/>
      <c r="J38" s="93"/>
      <c r="K38" s="3"/>
    </row>
    <row r="39" spans="1:11" ht="12.75">
      <c r="A39" s="5" t="s">
        <v>43</v>
      </c>
      <c r="C39" s="3"/>
      <c r="D39" s="3"/>
      <c r="E39" s="84"/>
      <c r="F39" s="85"/>
      <c r="G39" s="87" t="s">
        <v>43</v>
      </c>
      <c r="H39" s="2"/>
      <c r="I39" s="93"/>
      <c r="J39" s="93"/>
      <c r="K39" s="3"/>
    </row>
    <row r="40" spans="1:11" ht="12.75">
      <c r="A40" s="134" t="s">
        <v>121</v>
      </c>
      <c r="B40" s="2" t="s">
        <v>1</v>
      </c>
      <c r="C40" s="3">
        <v>1</v>
      </c>
      <c r="D40" s="129">
        <v>6.89</v>
      </c>
      <c r="E40" s="84">
        <f>(C40*D40)</f>
        <v>6.89</v>
      </c>
      <c r="F40" s="85"/>
      <c r="G40" s="39" t="s">
        <v>94</v>
      </c>
      <c r="H40" s="2" t="s">
        <v>1</v>
      </c>
      <c r="I40" s="24"/>
      <c r="J40" s="24"/>
      <c r="K40" s="3">
        <f>(I40*J40)</f>
        <v>0</v>
      </c>
    </row>
    <row r="41" spans="1:11" ht="12.75">
      <c r="A41" s="134" t="s">
        <v>99</v>
      </c>
      <c r="B41" s="2" t="s">
        <v>1</v>
      </c>
      <c r="C41" s="3">
        <v>1</v>
      </c>
      <c r="D41" s="129">
        <v>6.75</v>
      </c>
      <c r="E41" s="84">
        <f>(C41*D41)</f>
        <v>6.75</v>
      </c>
      <c r="F41" s="85"/>
      <c r="G41" s="39" t="s">
        <v>99</v>
      </c>
      <c r="H41" s="2" t="s">
        <v>1</v>
      </c>
      <c r="I41" s="24"/>
      <c r="J41" s="24"/>
      <c r="K41" s="3">
        <f>(I41*J41)</f>
        <v>0</v>
      </c>
    </row>
    <row r="42" spans="1:11" ht="12.75">
      <c r="A42" s="127" t="s">
        <v>44</v>
      </c>
      <c r="B42" s="29" t="s">
        <v>1</v>
      </c>
      <c r="C42" s="30">
        <v>1</v>
      </c>
      <c r="D42" s="130">
        <v>5.86</v>
      </c>
      <c r="E42" s="84">
        <f>(C42*D42)</f>
        <v>5.86</v>
      </c>
      <c r="F42" s="85"/>
      <c r="G42" s="125" t="s">
        <v>96</v>
      </c>
      <c r="H42" s="126" t="s">
        <v>1</v>
      </c>
      <c r="I42" s="24"/>
      <c r="J42" s="24"/>
      <c r="K42" s="3">
        <f>(I42*J42)</f>
        <v>0</v>
      </c>
    </row>
    <row r="43" spans="1:11" ht="12.75">
      <c r="A43" s="32" t="s">
        <v>96</v>
      </c>
      <c r="B43" s="29" t="s">
        <v>1</v>
      </c>
      <c r="C43" s="30">
        <v>0</v>
      </c>
      <c r="D43" s="104">
        <v>0</v>
      </c>
      <c r="E43" s="84">
        <f>(C43*D43)</f>
        <v>0</v>
      </c>
      <c r="F43" s="85"/>
      <c r="G43" s="39" t="s">
        <v>95</v>
      </c>
      <c r="H43" s="2" t="s">
        <v>1</v>
      </c>
      <c r="I43" s="24"/>
      <c r="J43" s="24"/>
      <c r="K43" s="3">
        <f>(I43*J43)</f>
        <v>0</v>
      </c>
    </row>
    <row r="44" spans="1:11" ht="12.75">
      <c r="A44" s="4"/>
      <c r="C44" s="3"/>
      <c r="D44" s="3"/>
      <c r="E44" s="84"/>
      <c r="F44" s="85"/>
      <c r="G44" s="39"/>
      <c r="H44" s="2"/>
      <c r="I44" s="3"/>
      <c r="J44" s="3"/>
      <c r="K44" s="3"/>
    </row>
    <row r="45" spans="1:11" ht="12.75">
      <c r="A45" s="5" t="s">
        <v>45</v>
      </c>
      <c r="C45" s="3"/>
      <c r="D45" s="3"/>
      <c r="E45" s="84"/>
      <c r="F45" s="85"/>
      <c r="G45" s="87" t="s">
        <v>45</v>
      </c>
      <c r="H45" s="2"/>
      <c r="I45" s="3"/>
      <c r="J45" s="3"/>
      <c r="K45" s="3"/>
    </row>
    <row r="46" spans="1:11" ht="12.75">
      <c r="A46" s="133" t="s">
        <v>80</v>
      </c>
      <c r="B46" s="29" t="s">
        <v>84</v>
      </c>
      <c r="C46" s="30">
        <v>2</v>
      </c>
      <c r="D46" s="30">
        <v>6.58</v>
      </c>
      <c r="E46" s="84">
        <f>(C46*D46)</f>
        <v>13.16</v>
      </c>
      <c r="F46" s="85"/>
      <c r="G46" s="89"/>
      <c r="H46" s="24"/>
      <c r="I46" s="24"/>
      <c r="J46" s="24"/>
      <c r="K46" s="3">
        <f>(I46*J46)</f>
        <v>0</v>
      </c>
    </row>
    <row r="47" spans="1:11" ht="12.75">
      <c r="A47" s="133" t="s">
        <v>46</v>
      </c>
      <c r="B47" s="29" t="s">
        <v>85</v>
      </c>
      <c r="C47" s="30">
        <v>4</v>
      </c>
      <c r="D47" s="30">
        <v>4.07</v>
      </c>
      <c r="E47" s="84">
        <f>(C47*D47)</f>
        <v>16.28</v>
      </c>
      <c r="F47" s="85"/>
      <c r="G47" s="89"/>
      <c r="H47" s="24"/>
      <c r="I47" s="24"/>
      <c r="J47" s="24"/>
      <c r="K47" s="3">
        <f>(I47*J47)</f>
        <v>0</v>
      </c>
    </row>
    <row r="48" spans="1:11" ht="12.75">
      <c r="A48" s="133" t="s">
        <v>100</v>
      </c>
      <c r="B48" s="2" t="s">
        <v>48</v>
      </c>
      <c r="C48" s="3">
        <v>0.25</v>
      </c>
      <c r="D48" s="3">
        <v>38</v>
      </c>
      <c r="E48" s="84">
        <f>(C48*D48)</f>
        <v>9.5</v>
      </c>
      <c r="F48" s="85"/>
      <c r="G48" s="89"/>
      <c r="H48" s="24"/>
      <c r="I48" s="24"/>
      <c r="J48" s="24"/>
      <c r="K48" s="3">
        <f>(I48*J48)</f>
        <v>0</v>
      </c>
    </row>
    <row r="49" spans="5:11" ht="12.75">
      <c r="E49" s="82"/>
      <c r="F49" s="85"/>
      <c r="G49" s="89"/>
      <c r="H49" s="24"/>
      <c r="I49" s="24"/>
      <c r="J49" s="24"/>
      <c r="K49" s="3">
        <f>(I49*J49)</f>
        <v>0</v>
      </c>
    </row>
    <row r="50" spans="5:11" ht="12.75">
      <c r="E50" s="82"/>
      <c r="F50" s="85"/>
      <c r="G50" s="94"/>
      <c r="H50" s="95"/>
      <c r="I50" s="95"/>
      <c r="J50" s="95"/>
      <c r="K50" s="3"/>
    </row>
    <row r="51" spans="1:11" ht="12.75">
      <c r="A51" s="33" t="s">
        <v>47</v>
      </c>
      <c r="B51" s="29"/>
      <c r="C51" s="30"/>
      <c r="D51" s="30"/>
      <c r="E51" s="96"/>
      <c r="F51" s="85"/>
      <c r="G51" s="97" t="s">
        <v>47</v>
      </c>
      <c r="H51" s="29"/>
      <c r="I51" s="30"/>
      <c r="J51" s="30"/>
      <c r="K51" s="31"/>
    </row>
    <row r="52" spans="1:11" ht="12.75">
      <c r="A52" s="32" t="s">
        <v>81</v>
      </c>
      <c r="B52" s="34" t="s">
        <v>66</v>
      </c>
      <c r="C52" s="30">
        <v>0</v>
      </c>
      <c r="D52" s="30">
        <v>0</v>
      </c>
      <c r="E52" s="84">
        <f>(C52*D52)</f>
        <v>0</v>
      </c>
      <c r="F52" s="85"/>
      <c r="G52" s="89"/>
      <c r="H52" s="24"/>
      <c r="I52" s="24"/>
      <c r="J52" s="24"/>
      <c r="K52" s="3">
        <f>(I52*J52)</f>
        <v>0</v>
      </c>
    </row>
    <row r="53" spans="1:11" ht="12.75">
      <c r="A53" s="4"/>
      <c r="C53" s="3"/>
      <c r="D53" s="3"/>
      <c r="E53" s="84"/>
      <c r="F53" s="85"/>
      <c r="G53" s="89"/>
      <c r="H53" s="24"/>
      <c r="I53" s="24"/>
      <c r="J53" s="24"/>
      <c r="K53" s="3">
        <f>(I53*J53)</f>
        <v>0</v>
      </c>
    </row>
    <row r="54" spans="1:11" ht="12.75">
      <c r="A54" s="4"/>
      <c r="C54" s="3"/>
      <c r="D54" s="3"/>
      <c r="E54" s="84"/>
      <c r="F54" s="85"/>
      <c r="G54" s="89"/>
      <c r="H54" s="24"/>
      <c r="I54" s="24"/>
      <c r="J54" s="24"/>
      <c r="K54" s="3">
        <f>(I54*J54)</f>
        <v>0</v>
      </c>
    </row>
    <row r="55" spans="1:11" ht="12.75">
      <c r="A55" s="5"/>
      <c r="C55" s="3"/>
      <c r="D55" s="3"/>
      <c r="E55" s="84"/>
      <c r="F55" s="85"/>
      <c r="G55" s="89"/>
      <c r="H55" s="24"/>
      <c r="I55" s="24"/>
      <c r="J55" s="24"/>
      <c r="K55" s="3">
        <f>(I55*J55)</f>
        <v>0</v>
      </c>
    </row>
    <row r="56" spans="1:11" ht="12.75">
      <c r="A56" s="5"/>
      <c r="C56" s="3"/>
      <c r="D56" s="3"/>
      <c r="E56" s="84"/>
      <c r="F56" s="85"/>
      <c r="G56" s="94"/>
      <c r="H56" s="95"/>
      <c r="I56" s="95"/>
      <c r="J56" s="95"/>
      <c r="K56" s="3"/>
    </row>
    <row r="57" spans="1:11" ht="12.75">
      <c r="A57" s="5" t="s">
        <v>51</v>
      </c>
      <c r="C57" s="3"/>
      <c r="D57" s="3"/>
      <c r="E57" s="84"/>
      <c r="F57" s="85"/>
      <c r="G57" s="87" t="s">
        <v>51</v>
      </c>
      <c r="H57" s="2"/>
      <c r="I57" s="3"/>
      <c r="J57" s="3"/>
      <c r="K57" s="3"/>
    </row>
    <row r="58" spans="1:11" ht="12.75">
      <c r="A58" s="131" t="s">
        <v>124</v>
      </c>
      <c r="B58" s="2" t="s">
        <v>48</v>
      </c>
      <c r="C58" s="17">
        <v>5.11</v>
      </c>
      <c r="D58" s="30">
        <v>3.52</v>
      </c>
      <c r="E58" s="84">
        <f>(C58*D58)</f>
        <v>17.9872</v>
      </c>
      <c r="F58" s="85"/>
      <c r="G58" s="87" t="s">
        <v>49</v>
      </c>
      <c r="H58" s="2" t="s">
        <v>48</v>
      </c>
      <c r="I58" s="24"/>
      <c r="J58" s="24"/>
      <c r="K58" s="3">
        <f>(I58*J58)</f>
        <v>0</v>
      </c>
    </row>
    <row r="59" spans="1:11" ht="12.75">
      <c r="A59" s="131" t="s">
        <v>125</v>
      </c>
      <c r="B59" s="2" t="s">
        <v>48</v>
      </c>
      <c r="C59" s="17">
        <v>0.55</v>
      </c>
      <c r="D59" s="30">
        <v>3.21</v>
      </c>
      <c r="E59" s="84">
        <f>(C59*D59)</f>
        <v>1.7655</v>
      </c>
      <c r="F59" s="85"/>
      <c r="G59" s="87" t="s">
        <v>50</v>
      </c>
      <c r="H59" s="2" t="s">
        <v>48</v>
      </c>
      <c r="I59" s="24"/>
      <c r="J59" s="24"/>
      <c r="K59" s="3">
        <f>(I59*J59)</f>
        <v>0</v>
      </c>
    </row>
    <row r="60" spans="1:11" ht="12.75">
      <c r="A60" s="5" t="s">
        <v>52</v>
      </c>
      <c r="B60" s="2" t="s">
        <v>48</v>
      </c>
      <c r="C60" s="17">
        <v>0</v>
      </c>
      <c r="D60" s="108">
        <v>0</v>
      </c>
      <c r="E60" s="84">
        <f>(C60*D60)</f>
        <v>0</v>
      </c>
      <c r="F60" s="85"/>
      <c r="G60" s="87" t="s">
        <v>52</v>
      </c>
      <c r="H60" s="2" t="s">
        <v>48</v>
      </c>
      <c r="I60" s="24"/>
      <c r="J60" s="24"/>
      <c r="K60" s="3">
        <f>(I60*J60)</f>
        <v>0</v>
      </c>
    </row>
    <row r="61" spans="1:11" ht="12.75">
      <c r="A61" s="5" t="s">
        <v>14</v>
      </c>
      <c r="B61" s="2" t="s">
        <v>53</v>
      </c>
      <c r="C61" s="17">
        <v>0</v>
      </c>
      <c r="D61" s="108">
        <v>0</v>
      </c>
      <c r="E61" s="84">
        <f>(C61*D61)</f>
        <v>0</v>
      </c>
      <c r="F61" s="85"/>
      <c r="G61" s="87" t="s">
        <v>14</v>
      </c>
      <c r="H61" s="2" t="s">
        <v>53</v>
      </c>
      <c r="I61" s="24"/>
      <c r="J61" s="24"/>
      <c r="K61" s="3">
        <f>(I61*J61)</f>
        <v>0</v>
      </c>
    </row>
    <row r="62" spans="1:11" ht="12.75">
      <c r="A62" s="5" t="s">
        <v>15</v>
      </c>
      <c r="B62" s="2" t="s">
        <v>1</v>
      </c>
      <c r="C62" s="17">
        <v>1</v>
      </c>
      <c r="D62" s="129">
        <f>(E58+E59)*0.15</f>
        <v>2.962905</v>
      </c>
      <c r="E62" s="84">
        <f>(C62*D62)</f>
        <v>2.962905</v>
      </c>
      <c r="F62" s="85"/>
      <c r="G62" s="87" t="s">
        <v>15</v>
      </c>
      <c r="H62" s="2" t="s">
        <v>1</v>
      </c>
      <c r="I62" s="24"/>
      <c r="J62" s="24"/>
      <c r="K62" s="3">
        <f>(I62*J62)</f>
        <v>0</v>
      </c>
    </row>
    <row r="63" spans="1:11" ht="12.75">
      <c r="A63" s="5"/>
      <c r="C63" s="3"/>
      <c r="D63" s="31"/>
      <c r="E63" s="84"/>
      <c r="F63" s="85"/>
      <c r="G63" s="87"/>
      <c r="H63" s="2"/>
      <c r="I63" s="3"/>
      <c r="J63" s="3"/>
      <c r="K63" s="3"/>
    </row>
    <row r="64" spans="1:11" ht="12.75">
      <c r="A64" s="5" t="s">
        <v>54</v>
      </c>
      <c r="E64" s="82"/>
      <c r="F64" s="43"/>
      <c r="G64" s="87" t="s">
        <v>54</v>
      </c>
      <c r="H64" s="2"/>
      <c r="I64" s="2"/>
      <c r="J64" s="2"/>
      <c r="K64" s="2"/>
    </row>
    <row r="65" spans="1:11" ht="12.75">
      <c r="A65" s="5" t="s">
        <v>55</v>
      </c>
      <c r="B65" s="2" t="s">
        <v>1</v>
      </c>
      <c r="C65" s="3">
        <v>1</v>
      </c>
      <c r="D65" s="17">
        <v>3.66</v>
      </c>
      <c r="E65" s="84">
        <f>(C65*D65)</f>
        <v>3.66</v>
      </c>
      <c r="F65" s="85"/>
      <c r="G65" s="87" t="s">
        <v>55</v>
      </c>
      <c r="H65" s="2" t="s">
        <v>1</v>
      </c>
      <c r="I65" s="24"/>
      <c r="J65" s="24"/>
      <c r="K65" s="3">
        <f>(I65*J65)</f>
        <v>0</v>
      </c>
    </row>
    <row r="66" spans="1:11" ht="12.75">
      <c r="A66" s="5" t="s">
        <v>56</v>
      </c>
      <c r="B66" s="2" t="s">
        <v>1</v>
      </c>
      <c r="C66" s="3">
        <v>1</v>
      </c>
      <c r="D66" s="17">
        <v>11.44</v>
      </c>
      <c r="E66" s="84">
        <f>(C66*D66)</f>
        <v>11.44</v>
      </c>
      <c r="F66" s="85"/>
      <c r="G66" s="87" t="s">
        <v>56</v>
      </c>
      <c r="H66" s="2" t="s">
        <v>1</v>
      </c>
      <c r="I66" s="24"/>
      <c r="J66" s="24"/>
      <c r="K66" s="3">
        <f>(I66*J66)</f>
        <v>0</v>
      </c>
    </row>
    <row r="67" spans="1:11" ht="12.75">
      <c r="A67" s="5" t="s">
        <v>57</v>
      </c>
      <c r="B67" s="2" t="s">
        <v>1</v>
      </c>
      <c r="C67" s="3">
        <v>0</v>
      </c>
      <c r="D67" s="17">
        <v>0</v>
      </c>
      <c r="E67" s="84">
        <f>(C67*D67)</f>
        <v>0</v>
      </c>
      <c r="F67" s="85"/>
      <c r="G67" s="87" t="s">
        <v>57</v>
      </c>
      <c r="H67" s="2" t="s">
        <v>1</v>
      </c>
      <c r="I67" s="24"/>
      <c r="J67" s="24"/>
      <c r="K67" s="3">
        <f>(I67*J67)</f>
        <v>0</v>
      </c>
    </row>
    <row r="68" spans="1:11" ht="12.75">
      <c r="A68" s="5"/>
      <c r="C68" s="3"/>
      <c r="D68" s="31"/>
      <c r="E68" s="84"/>
      <c r="F68" s="85"/>
      <c r="G68" s="87"/>
      <c r="H68" s="2"/>
      <c r="I68" s="95"/>
      <c r="J68" s="95"/>
      <c r="K68" s="3"/>
    </row>
    <row r="69" spans="1:11" ht="14.25">
      <c r="A69" s="5"/>
      <c r="C69" s="3"/>
      <c r="D69" s="3"/>
      <c r="E69" s="84"/>
      <c r="F69" s="85"/>
      <c r="G69" s="87" t="s">
        <v>109</v>
      </c>
      <c r="H69" s="2" t="s">
        <v>1</v>
      </c>
      <c r="I69" s="24"/>
      <c r="J69" s="24"/>
      <c r="K69" s="3">
        <f>(I69*J69)</f>
        <v>0</v>
      </c>
    </row>
    <row r="70" spans="1:11" ht="12.75">
      <c r="A70" s="5"/>
      <c r="C70" s="3"/>
      <c r="D70" s="3"/>
      <c r="E70" s="84"/>
      <c r="F70" s="85"/>
      <c r="G70" s="87"/>
      <c r="H70" s="2"/>
      <c r="I70" s="3"/>
      <c r="J70" s="3"/>
      <c r="K70" s="3"/>
    </row>
    <row r="71" spans="1:11" ht="12.75">
      <c r="A71" s="4" t="s">
        <v>11</v>
      </c>
      <c r="C71" s="3"/>
      <c r="D71" s="3"/>
      <c r="E71" s="84">
        <f>SUM(E28:E70)</f>
        <v>272.02560500000004</v>
      </c>
      <c r="F71" s="85"/>
      <c r="G71" s="39" t="s">
        <v>11</v>
      </c>
      <c r="H71" s="2"/>
      <c r="I71" s="3"/>
      <c r="J71" s="3"/>
      <c r="K71" s="85">
        <f>SUM(K29:K69)</f>
        <v>0</v>
      </c>
    </row>
    <row r="72" spans="1:11" ht="12.75">
      <c r="A72" s="5"/>
      <c r="C72" s="3"/>
      <c r="D72" s="3"/>
      <c r="E72" s="84"/>
      <c r="F72" s="85"/>
      <c r="G72" s="87"/>
      <c r="H72" s="2"/>
      <c r="I72" s="3"/>
      <c r="J72" s="3"/>
      <c r="K72" s="3"/>
    </row>
    <row r="73" spans="1:11" ht="12.75">
      <c r="A73" s="4" t="s">
        <v>7</v>
      </c>
      <c r="B73" s="2" t="s">
        <v>1</v>
      </c>
      <c r="C73" s="3">
        <f>(E71)</f>
        <v>272.02560500000004</v>
      </c>
      <c r="D73" s="8">
        <v>0.0399</v>
      </c>
      <c r="E73" s="84">
        <f>(C73*D73)/2</f>
        <v>5.426910819750001</v>
      </c>
      <c r="F73" s="85"/>
      <c r="G73" s="39" t="s">
        <v>7</v>
      </c>
      <c r="H73" s="2" t="s">
        <v>1</v>
      </c>
      <c r="I73" s="41"/>
      <c r="J73" s="40">
        <f>(K71)</f>
        <v>0</v>
      </c>
      <c r="K73" s="3">
        <f>(I73*J73)/2</f>
        <v>0</v>
      </c>
    </row>
    <row r="74" spans="1:11" ht="12.75">
      <c r="A74" s="4"/>
      <c r="C74" s="3"/>
      <c r="D74" s="8"/>
      <c r="E74" s="84"/>
      <c r="F74" s="85"/>
      <c r="G74" s="123" t="s">
        <v>104</v>
      </c>
      <c r="H74" s="2"/>
      <c r="I74" s="35"/>
      <c r="J74" s="95"/>
      <c r="K74" s="3"/>
    </row>
    <row r="75" spans="1:11" ht="12.75">
      <c r="A75" s="4"/>
      <c r="C75" s="3"/>
      <c r="D75" s="8"/>
      <c r="E75" s="84"/>
      <c r="F75" s="85"/>
      <c r="G75" s="39"/>
      <c r="H75" s="2"/>
      <c r="I75" s="3"/>
      <c r="J75" s="8"/>
      <c r="K75" s="3"/>
    </row>
    <row r="76" spans="1:11" ht="12.75">
      <c r="A76" s="109" t="s">
        <v>86</v>
      </c>
      <c r="B76" s="29"/>
      <c r="C76" s="30"/>
      <c r="D76" s="110"/>
      <c r="E76" s="111">
        <f>SUM(E71:E75)</f>
        <v>277.45251581975003</v>
      </c>
      <c r="F76" s="112"/>
      <c r="G76" s="109" t="s">
        <v>86</v>
      </c>
      <c r="H76" s="2"/>
      <c r="I76" s="3"/>
      <c r="J76" s="8"/>
      <c r="K76" s="111">
        <f>SUM(K71:K75)</f>
        <v>0</v>
      </c>
    </row>
    <row r="77" spans="1:11" ht="12.75">
      <c r="A77" s="32"/>
      <c r="B77" s="29"/>
      <c r="C77" s="30"/>
      <c r="D77" s="110"/>
      <c r="E77" s="31"/>
      <c r="F77" s="112"/>
      <c r="G77" s="113"/>
      <c r="H77" s="2"/>
      <c r="I77" s="3"/>
      <c r="J77" s="8"/>
      <c r="K77" s="31"/>
    </row>
    <row r="78" spans="1:11" ht="12.75">
      <c r="A78" s="109" t="s">
        <v>101</v>
      </c>
      <c r="B78" s="29"/>
      <c r="C78" s="30"/>
      <c r="D78" s="110"/>
      <c r="E78" s="111">
        <f>(E76/C18)</f>
        <v>37.64620296061737</v>
      </c>
      <c r="F78" s="112"/>
      <c r="G78" s="109" t="s">
        <v>101</v>
      </c>
      <c r="H78" s="29"/>
      <c r="I78" s="30"/>
      <c r="J78" s="110"/>
      <c r="K78" s="111" t="e">
        <f>(K76/I18)</f>
        <v>#DIV/0!</v>
      </c>
    </row>
    <row r="79" spans="1:11" ht="12.75">
      <c r="A79" s="5"/>
      <c r="C79" s="3"/>
      <c r="D79" s="3"/>
      <c r="E79" s="84"/>
      <c r="F79" s="85"/>
      <c r="G79" s="87"/>
      <c r="H79" s="2"/>
      <c r="I79" s="3"/>
      <c r="J79" s="3"/>
      <c r="K79" s="3"/>
    </row>
    <row r="80" spans="1:11" ht="12.75">
      <c r="A80" s="9" t="s">
        <v>8</v>
      </c>
      <c r="C80" s="3"/>
      <c r="D80" s="3"/>
      <c r="E80" s="84"/>
      <c r="F80" s="85"/>
      <c r="G80" s="83" t="s">
        <v>8</v>
      </c>
      <c r="H80" s="2"/>
      <c r="I80" s="3"/>
      <c r="J80" s="3"/>
      <c r="K80" s="3"/>
    </row>
    <row r="81" spans="1:11" ht="12.75">
      <c r="A81" s="5"/>
      <c r="C81" s="3"/>
      <c r="D81" s="3"/>
      <c r="E81" s="84"/>
      <c r="F81" s="85"/>
      <c r="G81" s="87"/>
      <c r="H81" s="2"/>
      <c r="I81" s="3"/>
      <c r="J81" s="3"/>
      <c r="K81" s="3"/>
    </row>
    <row r="82" spans="1:11" ht="12.75">
      <c r="A82" s="1"/>
      <c r="B82" s="12" t="s">
        <v>2</v>
      </c>
      <c r="C82" s="12" t="s">
        <v>3</v>
      </c>
      <c r="D82" s="12" t="s">
        <v>4</v>
      </c>
      <c r="E82" s="114" t="s">
        <v>5</v>
      </c>
      <c r="F82" s="115"/>
      <c r="G82" s="86"/>
      <c r="H82" s="12" t="s">
        <v>2</v>
      </c>
      <c r="I82" s="12" t="s">
        <v>3</v>
      </c>
      <c r="J82" s="12" t="s">
        <v>4</v>
      </c>
      <c r="K82" s="12" t="s">
        <v>5</v>
      </c>
    </row>
    <row r="83" spans="1:11" ht="12.75">
      <c r="A83" s="6"/>
      <c r="B83" s="12"/>
      <c r="C83" s="12"/>
      <c r="D83" s="12" t="s">
        <v>0</v>
      </c>
      <c r="E83" s="114" t="s">
        <v>6</v>
      </c>
      <c r="F83" s="115"/>
      <c r="G83" s="98"/>
      <c r="H83" s="12"/>
      <c r="I83" s="12"/>
      <c r="J83" s="12" t="s">
        <v>0</v>
      </c>
      <c r="K83" s="12" t="s">
        <v>6</v>
      </c>
    </row>
    <row r="84" spans="1:11" ht="12.75">
      <c r="A84" s="6"/>
      <c r="C84" s="3"/>
      <c r="D84" s="3"/>
      <c r="E84" s="84"/>
      <c r="F84" s="85"/>
      <c r="G84" s="98"/>
      <c r="H84" s="2"/>
      <c r="I84" s="3"/>
      <c r="J84" s="3"/>
      <c r="K84" s="3"/>
    </row>
    <row r="85" spans="1:11" ht="12.75">
      <c r="A85" s="7" t="s">
        <v>90</v>
      </c>
      <c r="B85" s="2" t="s">
        <v>58</v>
      </c>
      <c r="C85" s="3">
        <v>0</v>
      </c>
      <c r="D85" s="3">
        <v>0</v>
      </c>
      <c r="E85" s="84">
        <f>(C85*D85)</f>
        <v>0</v>
      </c>
      <c r="F85" s="85"/>
      <c r="G85" s="99" t="s">
        <v>106</v>
      </c>
      <c r="H85" s="2" t="s">
        <v>58</v>
      </c>
      <c r="I85" s="41"/>
      <c r="J85" s="40">
        <v>0</v>
      </c>
      <c r="K85" s="3">
        <f>(I85*J85)</f>
        <v>0</v>
      </c>
    </row>
    <row r="86" spans="1:11" ht="12.75">
      <c r="A86" s="7"/>
      <c r="C86" s="3"/>
      <c r="D86" s="3"/>
      <c r="E86" s="84"/>
      <c r="F86" s="85"/>
      <c r="G86" s="99"/>
      <c r="H86" s="2"/>
      <c r="I86" s="95"/>
      <c r="J86" s="95"/>
      <c r="K86" s="3"/>
    </row>
    <row r="87" spans="1:11" ht="12.75">
      <c r="A87" s="100" t="s">
        <v>70</v>
      </c>
      <c r="B87" s="2" t="s">
        <v>1</v>
      </c>
      <c r="C87" s="95">
        <v>1</v>
      </c>
      <c r="D87" s="95">
        <v>123.6</v>
      </c>
      <c r="E87" s="84">
        <f>(C87*D87)</f>
        <v>123.6</v>
      </c>
      <c r="F87" s="85"/>
      <c r="G87" s="99" t="s">
        <v>70</v>
      </c>
      <c r="H87" s="2" t="s">
        <v>1</v>
      </c>
      <c r="I87" s="24"/>
      <c r="J87" s="24"/>
      <c r="K87" s="3">
        <f>(I87*J87)</f>
        <v>0</v>
      </c>
    </row>
    <row r="88" spans="1:11" ht="12.75">
      <c r="A88" s="7"/>
      <c r="C88" s="8"/>
      <c r="D88" s="3"/>
      <c r="E88" s="84"/>
      <c r="F88" s="85"/>
      <c r="G88" s="99"/>
      <c r="H88" s="2"/>
      <c r="I88" s="8"/>
      <c r="J88" s="3"/>
      <c r="K88" s="3"/>
    </row>
    <row r="89" spans="1:11" ht="12.75">
      <c r="A89" s="7" t="s">
        <v>9</v>
      </c>
      <c r="B89" s="2" t="s">
        <v>10</v>
      </c>
      <c r="C89" s="3">
        <v>1.58</v>
      </c>
      <c r="D89" s="3">
        <v>10</v>
      </c>
      <c r="E89" s="84">
        <f>(C89*D89)</f>
        <v>15.8</v>
      </c>
      <c r="F89" s="85"/>
      <c r="G89" s="99" t="s">
        <v>9</v>
      </c>
      <c r="H89" s="2" t="s">
        <v>10</v>
      </c>
      <c r="I89" s="24"/>
      <c r="J89" s="24"/>
      <c r="K89" s="3">
        <f>(I89*J89)</f>
        <v>0</v>
      </c>
    </row>
    <row r="90" spans="1:11" ht="12.75">
      <c r="A90" s="7"/>
      <c r="C90" s="3"/>
      <c r="D90" s="3"/>
      <c r="E90" s="84"/>
      <c r="F90" s="85"/>
      <c r="G90" s="99"/>
      <c r="H90" s="2"/>
      <c r="I90" s="3"/>
      <c r="J90" s="3"/>
      <c r="K90" s="3"/>
    </row>
    <row r="91" spans="1:11" ht="12.75">
      <c r="A91" s="7" t="s">
        <v>59</v>
      </c>
      <c r="C91" s="3"/>
      <c r="D91" s="3"/>
      <c r="E91" s="84"/>
      <c r="F91" s="85"/>
      <c r="G91" s="99" t="s">
        <v>59</v>
      </c>
      <c r="H91" s="2"/>
      <c r="I91" s="3"/>
      <c r="J91" s="3"/>
      <c r="K91" s="3"/>
    </row>
    <row r="92" spans="1:11" ht="12.75">
      <c r="A92" s="5" t="s">
        <v>55</v>
      </c>
      <c r="B92" s="2" t="s">
        <v>1</v>
      </c>
      <c r="C92" s="3">
        <v>1</v>
      </c>
      <c r="D92" s="17">
        <v>5.47</v>
      </c>
      <c r="E92" s="84">
        <f>(C92*D92)</f>
        <v>5.47</v>
      </c>
      <c r="F92" s="85"/>
      <c r="G92" s="87" t="s">
        <v>55</v>
      </c>
      <c r="H92" s="2" t="s">
        <v>1</v>
      </c>
      <c r="I92" s="24"/>
      <c r="J92" s="24"/>
      <c r="K92" s="3">
        <f>(I92*J92)</f>
        <v>0</v>
      </c>
    </row>
    <row r="93" spans="1:11" ht="12.75">
      <c r="A93" s="5" t="s">
        <v>56</v>
      </c>
      <c r="B93" s="2" t="s">
        <v>1</v>
      </c>
      <c r="C93" s="3">
        <v>1</v>
      </c>
      <c r="D93" s="17">
        <v>14.83</v>
      </c>
      <c r="E93" s="84">
        <f>(C93*D93)</f>
        <v>14.83</v>
      </c>
      <c r="F93" s="85"/>
      <c r="G93" s="87" t="s">
        <v>56</v>
      </c>
      <c r="H93" s="2" t="s">
        <v>1</v>
      </c>
      <c r="I93" s="24"/>
      <c r="J93" s="24"/>
      <c r="K93" s="3">
        <f>(I93*J93)</f>
        <v>0</v>
      </c>
    </row>
    <row r="94" spans="1:11" ht="12.75">
      <c r="A94" s="5" t="s">
        <v>57</v>
      </c>
      <c r="B94" s="2" t="s">
        <v>1</v>
      </c>
      <c r="C94" s="3">
        <v>0</v>
      </c>
      <c r="D94" s="17">
        <v>0</v>
      </c>
      <c r="E94" s="84">
        <f>(C94*D94)</f>
        <v>0</v>
      </c>
      <c r="F94" s="85"/>
      <c r="G94" s="87" t="s">
        <v>57</v>
      </c>
      <c r="H94" s="2" t="s">
        <v>1</v>
      </c>
      <c r="I94" s="24"/>
      <c r="J94" s="24"/>
      <c r="K94" s="3">
        <f>(I94*J94)</f>
        <v>0</v>
      </c>
    </row>
    <row r="95" spans="1:11" ht="12.75">
      <c r="A95" s="5"/>
      <c r="C95" s="3"/>
      <c r="D95" s="31"/>
      <c r="E95" s="84"/>
      <c r="F95" s="85"/>
      <c r="G95" s="87"/>
      <c r="H95" s="2"/>
      <c r="I95" s="3"/>
      <c r="J95" s="3"/>
      <c r="K95" s="3"/>
    </row>
    <row r="96" spans="1:11" ht="12.75">
      <c r="A96" s="7" t="s">
        <v>60</v>
      </c>
      <c r="C96" s="3"/>
      <c r="D96" s="17"/>
      <c r="E96" s="84"/>
      <c r="F96" s="85"/>
      <c r="G96" s="99" t="s">
        <v>60</v>
      </c>
      <c r="H96" s="2"/>
      <c r="I96" s="3"/>
      <c r="J96" s="3"/>
      <c r="K96" s="3"/>
    </row>
    <row r="97" spans="1:11" ht="12.75">
      <c r="A97" s="5" t="s">
        <v>55</v>
      </c>
      <c r="B97" s="2" t="s">
        <v>1</v>
      </c>
      <c r="C97" s="3">
        <v>1</v>
      </c>
      <c r="D97" s="17">
        <v>9.13</v>
      </c>
      <c r="E97" s="84">
        <f>(C97*D97)</f>
        <v>9.13</v>
      </c>
      <c r="F97" s="85"/>
      <c r="G97" s="87" t="s">
        <v>55</v>
      </c>
      <c r="H97" s="2" t="s">
        <v>1</v>
      </c>
      <c r="I97" s="24"/>
      <c r="J97" s="24"/>
      <c r="K97" s="3">
        <f>(I97*J97)</f>
        <v>0</v>
      </c>
    </row>
    <row r="98" spans="1:11" ht="12.75">
      <c r="A98" s="5" t="s">
        <v>56</v>
      </c>
      <c r="B98" s="2" t="s">
        <v>1</v>
      </c>
      <c r="C98" s="3">
        <v>1</v>
      </c>
      <c r="D98" s="17">
        <v>29.12</v>
      </c>
      <c r="E98" s="84">
        <f>(C98*D98)</f>
        <v>29.12</v>
      </c>
      <c r="F98" s="85"/>
      <c r="G98" s="87" t="s">
        <v>56</v>
      </c>
      <c r="H98" s="2" t="s">
        <v>1</v>
      </c>
      <c r="I98" s="24"/>
      <c r="J98" s="24"/>
      <c r="K98" s="3">
        <f>(I98*J98)</f>
        <v>0</v>
      </c>
    </row>
    <row r="99" spans="1:11" ht="12.75">
      <c r="A99" s="5" t="s">
        <v>57</v>
      </c>
      <c r="B99" s="2" t="s">
        <v>1</v>
      </c>
      <c r="C99" s="3">
        <v>0</v>
      </c>
      <c r="D99" s="17">
        <v>0</v>
      </c>
      <c r="E99" s="84">
        <f>(C99*D99)</f>
        <v>0</v>
      </c>
      <c r="F99" s="85"/>
      <c r="G99" s="87" t="s">
        <v>57</v>
      </c>
      <c r="H99" s="2" t="s">
        <v>1</v>
      </c>
      <c r="I99" s="24"/>
      <c r="J99" s="24"/>
      <c r="K99" s="3">
        <f>(I99*J99)</f>
        <v>0</v>
      </c>
    </row>
    <row r="100" spans="4:11" ht="12.75">
      <c r="D100" s="31"/>
      <c r="E100" s="82"/>
      <c r="F100" s="43"/>
      <c r="G100" s="80"/>
      <c r="H100" s="2"/>
      <c r="I100" s="2"/>
      <c r="J100" s="2"/>
      <c r="K100" s="2"/>
    </row>
    <row r="101" spans="1:11" ht="12.75">
      <c r="A101" s="109" t="s">
        <v>91</v>
      </c>
      <c r="B101" s="12"/>
      <c r="C101" s="12"/>
      <c r="D101" s="12"/>
      <c r="E101" s="42">
        <f>SUM(E85:E100)</f>
        <v>197.95000000000002</v>
      </c>
      <c r="F101" s="15"/>
      <c r="G101" s="116" t="s">
        <v>91</v>
      </c>
      <c r="H101" s="12"/>
      <c r="I101" s="12"/>
      <c r="J101" s="12"/>
      <c r="K101" s="10">
        <f>SUM(K85:K100)</f>
        <v>0</v>
      </c>
    </row>
    <row r="102" spans="5:11" ht="12.75">
      <c r="E102" s="82"/>
      <c r="F102" s="43"/>
      <c r="G102" s="80"/>
      <c r="H102" s="2"/>
      <c r="I102" s="2"/>
      <c r="J102" s="2"/>
      <c r="K102" s="2"/>
    </row>
    <row r="103" spans="1:11" ht="12.75">
      <c r="A103" s="117" t="s">
        <v>87</v>
      </c>
      <c r="E103" s="42">
        <f>(E76+E101)</f>
        <v>475.4025158197501</v>
      </c>
      <c r="F103" s="15"/>
      <c r="G103" s="118" t="s">
        <v>87</v>
      </c>
      <c r="H103" s="43"/>
      <c r="I103" s="43"/>
      <c r="J103" s="43"/>
      <c r="K103" s="15">
        <f>(K76+K101)</f>
        <v>0</v>
      </c>
    </row>
    <row r="104" spans="1:11" ht="12.75">
      <c r="A104" s="117"/>
      <c r="E104" s="82"/>
      <c r="F104" s="43"/>
      <c r="G104" s="118"/>
      <c r="H104" s="43"/>
      <c r="I104" s="43"/>
      <c r="J104" s="43"/>
      <c r="K104" s="43"/>
    </row>
    <row r="105" spans="1:11" ht="12.75">
      <c r="A105" s="119" t="s">
        <v>89</v>
      </c>
      <c r="E105" s="42">
        <f>(E21-E76)</f>
        <v>573.48768418025</v>
      </c>
      <c r="F105" s="15"/>
      <c r="G105" s="120" t="s">
        <v>89</v>
      </c>
      <c r="H105" s="43"/>
      <c r="I105" s="43"/>
      <c r="J105" s="43"/>
      <c r="K105" s="15">
        <f>(K21-K76)</f>
        <v>0</v>
      </c>
    </row>
    <row r="106" spans="1:11" ht="12.75">
      <c r="A106" s="1"/>
      <c r="E106" s="15"/>
      <c r="F106" s="23"/>
      <c r="G106" s="1"/>
      <c r="H106" s="2"/>
      <c r="I106" s="2"/>
      <c r="J106" s="2"/>
      <c r="K106" s="15"/>
    </row>
    <row r="107" spans="1:11" ht="12.75">
      <c r="A107" s="117" t="s">
        <v>88</v>
      </c>
      <c r="B107" s="29"/>
      <c r="C107" s="29"/>
      <c r="D107" s="29"/>
      <c r="E107" s="111">
        <f>(E21-E103)</f>
        <v>375.5376841802499</v>
      </c>
      <c r="F107" s="121"/>
      <c r="G107" s="117" t="s">
        <v>88</v>
      </c>
      <c r="H107" s="2"/>
      <c r="I107" s="2"/>
      <c r="J107" s="2"/>
      <c r="K107" s="111">
        <f>(K21-K103)</f>
        <v>0</v>
      </c>
    </row>
    <row r="108" spans="1:11" s="14" customFormat="1" ht="12.75">
      <c r="A108" s="1"/>
      <c r="B108" s="2"/>
      <c r="C108" s="2"/>
      <c r="D108" s="2"/>
      <c r="E108" s="15"/>
      <c r="F108" s="23"/>
      <c r="G108" s="1"/>
      <c r="H108" s="2"/>
      <c r="I108" s="2"/>
      <c r="J108" s="2"/>
      <c r="K108" s="15"/>
    </row>
    <row r="109" spans="1:11" ht="12.75">
      <c r="A109" s="1" t="s">
        <v>102</v>
      </c>
      <c r="B109" s="2" t="s">
        <v>103</v>
      </c>
      <c r="E109" s="42">
        <f>E103/C18</f>
        <v>64.50509034189282</v>
      </c>
      <c r="F109" s="23"/>
      <c r="G109" s="1" t="s">
        <v>102</v>
      </c>
      <c r="H109" s="2" t="s">
        <v>103</v>
      </c>
      <c r="I109" s="2"/>
      <c r="J109" s="2"/>
      <c r="K109" s="15" t="e">
        <f>K103/I18</f>
        <v>#DIV/0!</v>
      </c>
    </row>
    <row r="110" spans="1:11" ht="12.75">
      <c r="A110" s="1"/>
      <c r="E110" s="15"/>
      <c r="F110" s="43"/>
      <c r="G110" s="1"/>
      <c r="H110" s="2"/>
      <c r="I110" s="2"/>
      <c r="J110" s="2"/>
      <c r="K110" s="15"/>
    </row>
    <row r="111" spans="1:11" ht="12.75">
      <c r="A111" s="1"/>
      <c r="E111" s="15"/>
      <c r="F111" s="43"/>
      <c r="G111" s="1"/>
      <c r="H111" s="2"/>
      <c r="I111" s="2"/>
      <c r="J111" s="2"/>
      <c r="K111" s="15"/>
    </row>
    <row r="112" spans="1:11" ht="14.25">
      <c r="A112" s="122" t="s">
        <v>127</v>
      </c>
      <c r="E112" s="15"/>
      <c r="F112" s="43"/>
      <c r="G112" s="1"/>
      <c r="H112" s="2"/>
      <c r="I112" s="2"/>
      <c r="J112" s="2"/>
      <c r="K112" s="15"/>
    </row>
    <row r="113" spans="1:11" ht="14.25">
      <c r="A113" s="122"/>
      <c r="E113" s="15"/>
      <c r="F113" s="43"/>
      <c r="G113" s="1"/>
      <c r="H113" s="2"/>
      <c r="I113" s="2"/>
      <c r="J113" s="2"/>
      <c r="K113" s="15"/>
    </row>
    <row r="114" spans="1:11" ht="14.25">
      <c r="A114" s="122" t="s">
        <v>107</v>
      </c>
      <c r="E114" s="15"/>
      <c r="F114" s="43"/>
      <c r="G114" s="1"/>
      <c r="H114" s="2"/>
      <c r="I114" s="2"/>
      <c r="J114" s="2"/>
      <c r="K114" s="15"/>
    </row>
    <row r="115" spans="5:11" ht="12.75">
      <c r="E115" s="15"/>
      <c r="F115" s="15"/>
      <c r="G115" s="1"/>
      <c r="H115" s="2"/>
      <c r="I115" s="2"/>
      <c r="J115" s="2"/>
      <c r="K115" s="10"/>
    </row>
    <row r="116" spans="1:11" ht="14.25">
      <c r="A116" s="16" t="s">
        <v>108</v>
      </c>
      <c r="E116" s="15"/>
      <c r="F116" s="15"/>
      <c r="G116" s="1"/>
      <c r="H116" s="2"/>
      <c r="I116" s="2"/>
      <c r="J116" s="2"/>
      <c r="K116" s="10"/>
    </row>
    <row r="117" spans="1:11" ht="12.75">
      <c r="A117" s="14" t="s">
        <v>71</v>
      </c>
      <c r="E117" s="15"/>
      <c r="F117" s="15"/>
      <c r="G117" s="1"/>
      <c r="H117" s="2"/>
      <c r="I117" s="2"/>
      <c r="J117" s="2"/>
      <c r="K117" s="10"/>
    </row>
    <row r="118" spans="1:7" ht="12.75">
      <c r="A118" s="101" t="s">
        <v>120</v>
      </c>
      <c r="E118" s="3"/>
      <c r="F118" s="3"/>
      <c r="G118" s="1"/>
    </row>
    <row r="119" spans="1:7" ht="12.75">
      <c r="A119" s="36"/>
      <c r="E119" s="3"/>
      <c r="F119" s="3"/>
      <c r="G119" s="1"/>
    </row>
    <row r="120" spans="1:7" ht="12.75">
      <c r="A120" s="128" t="s">
        <v>123</v>
      </c>
      <c r="E120" s="3"/>
      <c r="F120" s="3"/>
      <c r="G120" s="1"/>
    </row>
    <row r="121" spans="1:7" ht="12.75">
      <c r="A121" s="128"/>
      <c r="E121" s="3"/>
      <c r="F121" s="3"/>
      <c r="G121" s="1"/>
    </row>
    <row r="122" spans="1:7" ht="12.75">
      <c r="A122" s="128" t="s">
        <v>128</v>
      </c>
      <c r="E122" s="3"/>
      <c r="F122" s="3"/>
      <c r="G122" s="1"/>
    </row>
    <row r="123" ht="12.75">
      <c r="A123" t="s">
        <v>32</v>
      </c>
    </row>
    <row r="127" ht="12.75"/>
    <row r="128" ht="12.75"/>
    <row r="129" ht="12.75"/>
    <row r="130" ht="12.75"/>
    <row r="131" ht="12.75"/>
    <row r="132" ht="12.75"/>
    <row r="133" ht="12.75"/>
  </sheetData>
  <sheetProtection password="C610" sheet="1"/>
  <mergeCells count="1">
    <mergeCell ref="J2:J4"/>
  </mergeCells>
  <hyperlinks>
    <hyperlink ref="A118" r:id="rId1" display="  Wisconsin's 2010 Custom Rate Guide.  "/>
  </hyperlinks>
  <printOptions/>
  <pageMargins left="0.75" right="0.75" top="1" bottom="1" header="0.5" footer="0.5"/>
  <pageSetup horizontalDpi="300" verticalDpi="300" orientation="landscape" scale="73" r:id="rId3"/>
  <rowBreaks count="2" manualBreakCount="2">
    <brk id="47" max="10" man="1"/>
    <brk id="80" max="10" man="1"/>
  </rowBreaks>
  <ignoredErrors>
    <ignoredError sqref="K78 K109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6"/>
  <sheetViews>
    <sheetView zoomScale="75" zoomScaleNormal="75" zoomScalePageLayoutView="0" workbookViewId="0" topLeftCell="A1">
      <selection activeCell="O42" sqref="O42"/>
    </sheetView>
  </sheetViews>
  <sheetFormatPr defaultColWidth="9.140625" defaultRowHeight="12.75"/>
  <cols>
    <col min="1" max="1" width="9.28125" style="0" customWidth="1"/>
    <col min="2" max="2" width="13.140625" style="0" customWidth="1"/>
    <col min="3" max="3" width="9.00390625" style="0" customWidth="1"/>
    <col min="4" max="8" width="10.28125" style="0" customWidth="1"/>
    <col min="10" max="10" width="12.7109375" style="0" customWidth="1"/>
    <col min="11" max="17" width="10.28125" style="0" customWidth="1"/>
  </cols>
  <sheetData>
    <row r="3" ht="12.75" customHeight="1">
      <c r="G3" s="44"/>
    </row>
    <row r="6" ht="15.75">
      <c r="A6" s="132" t="s">
        <v>126</v>
      </c>
    </row>
    <row r="7" ht="12.75">
      <c r="A7" s="1"/>
    </row>
    <row r="8" ht="12.75">
      <c r="A8" s="1"/>
    </row>
    <row r="9" ht="12.75">
      <c r="A9" s="1"/>
    </row>
    <row r="10" spans="5:14" ht="15.75">
      <c r="E10" s="137" t="s">
        <v>62</v>
      </c>
      <c r="F10" s="137"/>
      <c r="M10" s="137" t="s">
        <v>63</v>
      </c>
      <c r="N10" s="137"/>
    </row>
    <row r="12" spans="3:16" ht="12.75">
      <c r="C12" s="1"/>
      <c r="D12" s="1"/>
      <c r="E12" s="136" t="s">
        <v>72</v>
      </c>
      <c r="F12" s="136"/>
      <c r="G12" s="1"/>
      <c r="H12" s="1"/>
      <c r="K12" s="1"/>
      <c r="L12" s="1"/>
      <c r="M12" s="136" t="s">
        <v>72</v>
      </c>
      <c r="N12" s="136"/>
      <c r="O12" s="1"/>
      <c r="P12" s="1"/>
    </row>
    <row r="13" spans="3:16" ht="12.75">
      <c r="C13" s="1" t="s">
        <v>73</v>
      </c>
      <c r="D13" s="1"/>
      <c r="E13" s="1"/>
      <c r="F13" s="1"/>
      <c r="G13" s="1"/>
      <c r="H13" s="1"/>
      <c r="K13" s="1" t="s">
        <v>74</v>
      </c>
      <c r="L13" s="1"/>
      <c r="M13" s="1"/>
      <c r="N13" s="1"/>
      <c r="O13" s="1"/>
      <c r="P13" s="1"/>
    </row>
    <row r="16" spans="4:16" ht="13.5" thickBot="1">
      <c r="D16" s="45">
        <v>-0.2</v>
      </c>
      <c r="E16" s="45">
        <v>-0.1</v>
      </c>
      <c r="F16" s="12" t="s">
        <v>4</v>
      </c>
      <c r="G16" s="46" t="s">
        <v>75</v>
      </c>
      <c r="H16" s="46" t="s">
        <v>76</v>
      </c>
      <c r="L16" s="45">
        <v>-0.2</v>
      </c>
      <c r="M16" s="45">
        <v>-0.1</v>
      </c>
      <c r="N16" s="12" t="s">
        <v>4</v>
      </c>
      <c r="O16" s="46" t="s">
        <v>75</v>
      </c>
      <c r="P16" s="46" t="s">
        <v>76</v>
      </c>
    </row>
    <row r="17" spans="1:16" ht="13.5" thickBot="1">
      <c r="A17" s="47"/>
      <c r="D17" s="48">
        <f>ROUND((F17*0.8),2)</f>
        <v>92.37</v>
      </c>
      <c r="E17" s="49">
        <f>ROUND((F17*0.9),2)</f>
        <v>103.91</v>
      </c>
      <c r="F17" s="49">
        <f>Budget!D18</f>
        <v>115.46</v>
      </c>
      <c r="G17" s="49">
        <f>ROUND((F17*1.1),2)</f>
        <v>127.01</v>
      </c>
      <c r="H17" s="50">
        <f>ROUND((F17*1.2),2)</f>
        <v>138.55</v>
      </c>
      <c r="L17" s="48">
        <f>ROUND((N17*0.8),2)</f>
        <v>0</v>
      </c>
      <c r="M17" s="49">
        <f>ROUND((N17*0.9),2)</f>
        <v>0</v>
      </c>
      <c r="N17" s="49">
        <f>Budget!J18</f>
        <v>0</v>
      </c>
      <c r="O17" s="49">
        <f>ROUND((N17*1.1),2)</f>
        <v>0</v>
      </c>
      <c r="P17" s="50">
        <f>ROUND((N17*1.2),2)</f>
        <v>0</v>
      </c>
    </row>
    <row r="18" spans="1:16" ht="12.75">
      <c r="A18" s="47"/>
      <c r="B18" s="51">
        <v>-0.2</v>
      </c>
      <c r="C18" s="52">
        <f>(0.8*C20)</f>
        <v>5.896000000000001</v>
      </c>
      <c r="D18" s="53">
        <f>(D17*C18)-(Budget!E103-Budget!E19)</f>
        <v>69.21100418025003</v>
      </c>
      <c r="E18" s="54">
        <f>(E17*C18)-(Budget!E103-Budget!E19)</f>
        <v>137.25084418024994</v>
      </c>
      <c r="F18" s="55">
        <f>(F17*C18)-(Budget!E103-Budget!E19)</f>
        <v>205.34964418024992</v>
      </c>
      <c r="G18" s="55">
        <f>(G17*C18)-(Budget!E103-Budget!E19)</f>
        <v>273.44844418025</v>
      </c>
      <c r="H18" s="56">
        <f>(H17*C18)-(Budget!E103-Budget!E19)</f>
        <v>341.48828418025005</v>
      </c>
      <c r="J18" s="51">
        <v>-0.2</v>
      </c>
      <c r="K18" s="52">
        <f>(0.8*K20)</f>
        <v>0</v>
      </c>
      <c r="L18" s="53">
        <f>(L17*K18)-(Budget!K103-Budget!K19)</f>
        <v>0</v>
      </c>
      <c r="M18" s="54">
        <f>(M17*K18)-(Budget!K103-Budget!K19)</f>
        <v>0</v>
      </c>
      <c r="N18" s="55">
        <f>(N17*K18)-(Budget!K103-Budget!K19)</f>
        <v>0</v>
      </c>
      <c r="O18" s="55">
        <f>(O17*K18)-(Budget!K103-Budget!K19)</f>
        <v>0</v>
      </c>
      <c r="P18" s="56">
        <f>(P17*K18)-(Budget!K103-Budget!K19)</f>
        <v>0</v>
      </c>
    </row>
    <row r="19" spans="1:16" ht="12.75">
      <c r="A19" s="4"/>
      <c r="B19" s="51">
        <v>-0.1</v>
      </c>
      <c r="C19" s="57">
        <f>(0.9*C20)</f>
        <v>6.633</v>
      </c>
      <c r="D19" s="58">
        <f>(D17*C19)-(Budget!E103-Budget!E19)</f>
        <v>137.2876941802499</v>
      </c>
      <c r="E19" s="55">
        <f>(E17*C19)-(Budget!E103-Budget!E19)</f>
        <v>213.83251418024986</v>
      </c>
      <c r="F19" s="55">
        <f>(F17*C19)-(Budget!E103-Budget!E19)</f>
        <v>290.4436641802499</v>
      </c>
      <c r="G19" s="55">
        <f>(G17*C19)-(Budget!EW103-Budget!E19)</f>
        <v>842.4573300000001</v>
      </c>
      <c r="H19" s="59">
        <f>(H17*C19)-(Budget!E103-Budget!E19)</f>
        <v>443.59963418024995</v>
      </c>
      <c r="J19" s="51">
        <v>-0.1</v>
      </c>
      <c r="K19" s="57">
        <f>(0.9*K20)</f>
        <v>0</v>
      </c>
      <c r="L19" s="58">
        <f>(L17*K19)-(Budget!K103-Budget!K19)</f>
        <v>0</v>
      </c>
      <c r="M19" s="55">
        <f>(M17*K19)-(Budget!K103-Budget!K19)</f>
        <v>0</v>
      </c>
      <c r="N19" s="55">
        <f>(N17*K19)-(Budget!K103-Budget!K19)</f>
        <v>0</v>
      </c>
      <c r="O19" s="55">
        <f>(O17*K19)-(Budget!K103-Budget!K19)</f>
        <v>0</v>
      </c>
      <c r="P19" s="59">
        <f>(P17*K19)-(Budget!K103-Budget!K19)</f>
        <v>0</v>
      </c>
    </row>
    <row r="20" spans="1:16" ht="12.75">
      <c r="A20" s="47"/>
      <c r="B20" s="6" t="s">
        <v>77</v>
      </c>
      <c r="C20" s="57">
        <f>Budget!C18</f>
        <v>7.37</v>
      </c>
      <c r="D20" s="58">
        <f>(D17*C20)-(Budget!E103-Budget!E19)</f>
        <v>205.36438418025</v>
      </c>
      <c r="E20" s="55">
        <f>(E17*C20)-(Budget!E103-Budget!E19)</f>
        <v>290.4141841802499</v>
      </c>
      <c r="F20" s="55">
        <f>(F17*C20)-(Budget!E103-Budget!E19)</f>
        <v>375.5376841802499</v>
      </c>
      <c r="G20" s="55">
        <f>(G17*C20)-(Budget!E103-Budget!E19)</f>
        <v>460.66118418024996</v>
      </c>
      <c r="H20" s="59">
        <f>(H17*C20)-(Budget!E103-Budget!E19)</f>
        <v>545.71098418025</v>
      </c>
      <c r="J20" s="6" t="s">
        <v>77</v>
      </c>
      <c r="K20" s="57">
        <f>Budget!I18</f>
        <v>0</v>
      </c>
      <c r="L20" s="58">
        <f>(L17*K20)-(Budget!K103-Budget!K19)</f>
        <v>0</v>
      </c>
      <c r="M20" s="55">
        <f>(M17*K20)-(Budget!K103-Budget!K19)</f>
        <v>0</v>
      </c>
      <c r="N20" s="55">
        <f>(N17*K20)-(Budget!K103-Budget!K19)</f>
        <v>0</v>
      </c>
      <c r="O20" s="55">
        <f>(O17*K20)-(Budget!K103-Budget!K19)</f>
        <v>0</v>
      </c>
      <c r="P20" s="59">
        <f>(P17*K20)-(Budget!K103-Budget!K19)</f>
        <v>0</v>
      </c>
    </row>
    <row r="21" spans="1:16" ht="12.75">
      <c r="A21" s="47"/>
      <c r="B21" s="60" t="s">
        <v>75</v>
      </c>
      <c r="C21" s="57">
        <f>(1.1*C20)</f>
        <v>8.107000000000001</v>
      </c>
      <c r="D21" s="58">
        <f>(D17*C21)-(Budget!E103-Budget!E19)</f>
        <v>273.4410741802501</v>
      </c>
      <c r="E21" s="55">
        <f>(E17*C21)-(Budget!E103-Budget!E19)</f>
        <v>366.99585418025003</v>
      </c>
      <c r="F21" s="55">
        <f>(F17*C21)-(Budget!E103-Budget!E19)</f>
        <v>460.63170418025004</v>
      </c>
      <c r="G21" s="55">
        <f>(G17*C21)-(Budget!E103-Budget!E19)</f>
        <v>554.26755418025</v>
      </c>
      <c r="H21" s="59">
        <f>(H17*C21)-(Budget!E103-Budget!E19)</f>
        <v>647.8223341802502</v>
      </c>
      <c r="J21" s="60" t="s">
        <v>75</v>
      </c>
      <c r="K21" s="57">
        <f>(1.1*K20)</f>
        <v>0</v>
      </c>
      <c r="L21" s="58">
        <f>(L17*K21)-(Budget!K103-Budget!K19)</f>
        <v>0</v>
      </c>
      <c r="M21" s="55">
        <f>(M17*K21)-(Budget!K103-Budget!K19)</f>
        <v>0</v>
      </c>
      <c r="N21" s="55">
        <f>(N17*K21)-(Budget!K103-Budget!K19)</f>
        <v>0</v>
      </c>
      <c r="O21" s="55">
        <f>(O17*K21)-(Budget!K103-Budget!K19)</f>
        <v>0</v>
      </c>
      <c r="P21" s="59">
        <f>(P17*K21)-(Budget!K103-Budget!K19)</f>
        <v>0</v>
      </c>
    </row>
    <row r="22" spans="2:16" ht="13.5" thickBot="1">
      <c r="B22" s="51" t="s">
        <v>76</v>
      </c>
      <c r="C22" s="61">
        <f>(1.2*C20)</f>
        <v>8.844</v>
      </c>
      <c r="D22" s="62">
        <f>(D17*C22)-(Budget!E103-Budget!E19)</f>
        <v>341.51776418024986</v>
      </c>
      <c r="E22" s="63">
        <f>(E17*C22)-(Budget!E103-Budget!E19)</f>
        <v>443.57752418024984</v>
      </c>
      <c r="F22" s="63">
        <f>(F17*C22)-(Budget!E103-Budget!E19)</f>
        <v>545.7257241802498</v>
      </c>
      <c r="G22" s="63">
        <f>(G17*C22)-(Budget!E103-Budget!E19)</f>
        <v>647.8739241802498</v>
      </c>
      <c r="H22" s="64">
        <f>(H17*C22)-(Budget!E103-Budget!E19)</f>
        <v>749.9336841802499</v>
      </c>
      <c r="J22" s="51" t="s">
        <v>76</v>
      </c>
      <c r="K22" s="61">
        <f>(1.2*K20)</f>
        <v>0</v>
      </c>
      <c r="L22" s="62">
        <f>(L17*K22)-(Budget!K103-Budget!K19)</f>
        <v>0</v>
      </c>
      <c r="M22" s="63">
        <f>(M17*K22)-(Budget!K103-Budget!K19)</f>
        <v>0</v>
      </c>
      <c r="N22" s="63">
        <f>(N17*K22)-(Budget!K103-Budget!K19)</f>
        <v>0</v>
      </c>
      <c r="O22" s="63">
        <f>(O17*K22)-(Budget!K103-Budget!K19)</f>
        <v>0</v>
      </c>
      <c r="P22" s="64">
        <f>(P17*K22)-(Budget!K103-Budget!K19)</f>
        <v>0</v>
      </c>
    </row>
    <row r="27" spans="3:14" ht="12.75">
      <c r="C27" s="1"/>
      <c r="D27" s="1"/>
      <c r="E27" s="136" t="s">
        <v>78</v>
      </c>
      <c r="F27" s="136"/>
      <c r="K27" s="1"/>
      <c r="L27" s="1"/>
      <c r="M27" s="136" t="s">
        <v>78</v>
      </c>
      <c r="N27" s="136"/>
    </row>
    <row r="28" spans="3:14" ht="12.75">
      <c r="C28" s="1" t="s">
        <v>79</v>
      </c>
      <c r="D28" s="1"/>
      <c r="E28" s="1"/>
      <c r="F28" s="1"/>
      <c r="K28" s="1" t="s">
        <v>79</v>
      </c>
      <c r="L28" s="1"/>
      <c r="M28" s="1"/>
      <c r="N28" s="1"/>
    </row>
    <row r="30" spans="4:16" ht="13.5" thickBot="1">
      <c r="D30" s="45">
        <v>-0.2</v>
      </c>
      <c r="E30" s="45">
        <v>-0.1</v>
      </c>
      <c r="F30" s="12" t="s">
        <v>4</v>
      </c>
      <c r="G30" s="46" t="s">
        <v>75</v>
      </c>
      <c r="H30" s="46" t="s">
        <v>76</v>
      </c>
      <c r="L30" s="45">
        <v>-0.2</v>
      </c>
      <c r="M30" s="45">
        <v>-0.1</v>
      </c>
      <c r="N30" s="12" t="s">
        <v>4</v>
      </c>
      <c r="O30" s="46" t="s">
        <v>75</v>
      </c>
      <c r="P30" s="46" t="s">
        <v>76</v>
      </c>
    </row>
    <row r="31" spans="4:16" ht="13.5" thickBot="1">
      <c r="D31" s="65">
        <f>ROUND((F31*0.8),2)</f>
        <v>92.37</v>
      </c>
      <c r="E31" s="66">
        <f>ROUND((F31*0.9),2)</f>
        <v>103.91</v>
      </c>
      <c r="F31" s="66">
        <f>Budget!D18</f>
        <v>115.46</v>
      </c>
      <c r="G31" s="67">
        <f>ROUND((F31*1.1),2)</f>
        <v>127.01</v>
      </c>
      <c r="H31" s="50">
        <f>ROUND((F31*1.2),2)</f>
        <v>138.55</v>
      </c>
      <c r="L31" s="65">
        <f>ROUND((N31*0.8),2)</f>
        <v>0</v>
      </c>
      <c r="M31" s="66">
        <f>ROUND((N31*0.9),2)</f>
        <v>0</v>
      </c>
      <c r="N31" s="66">
        <f>Budget!J18</f>
        <v>0</v>
      </c>
      <c r="O31" s="67">
        <f>ROUND((N31*1.1),2)</f>
        <v>0</v>
      </c>
      <c r="P31" s="50">
        <f>ROUND((N31*1.2),2)</f>
        <v>0</v>
      </c>
    </row>
    <row r="32" spans="2:16" ht="12.75">
      <c r="B32" s="51">
        <v>-0.2</v>
      </c>
      <c r="C32" s="68">
        <f>(0.8*C34)</f>
        <v>380.3220126558001</v>
      </c>
      <c r="D32" s="69">
        <f>(C32-Budget!E19)/D31</f>
        <v>4.117375908366354</v>
      </c>
      <c r="E32" s="70">
        <f>(C32-Budget!E19)/E31</f>
        <v>3.66010983212203</v>
      </c>
      <c r="F32" s="70">
        <f>(C32-Budget!E19)/F31</f>
        <v>3.29397204794561</v>
      </c>
      <c r="G32" s="70">
        <f>(C32-Budget!E19)/G31</f>
        <v>2.9944257354208337</v>
      </c>
      <c r="H32" s="71">
        <f>(C32-Budget!E19)/H31</f>
        <v>2.745016330969326</v>
      </c>
      <c r="J32" s="51">
        <v>-0.2</v>
      </c>
      <c r="K32" s="68">
        <f>(0.8*K34)</f>
        <v>0</v>
      </c>
      <c r="L32" s="69" t="e">
        <f>(K32-Budget!K19)/L31</f>
        <v>#DIV/0!</v>
      </c>
      <c r="M32" s="70" t="e">
        <f>(K32-Budget!K19)/M31</f>
        <v>#DIV/0!</v>
      </c>
      <c r="N32" s="70" t="e">
        <f>(K32-Budget!K19)/N31</f>
        <v>#DIV/0!</v>
      </c>
      <c r="O32" s="70" t="e">
        <f>(K32-Budget!K19)/O31</f>
        <v>#DIV/0!</v>
      </c>
      <c r="P32" s="71" t="e">
        <f>(K32-Budget!K19)/P31</f>
        <v>#DIV/0!</v>
      </c>
    </row>
    <row r="33" spans="2:16" ht="12.75">
      <c r="B33" s="51">
        <v>-0.1</v>
      </c>
      <c r="C33" s="72">
        <f>(0.9*C34)</f>
        <v>427.8622642377751</v>
      </c>
      <c r="D33" s="73">
        <f>(C33-Budget!E19)/D31</f>
        <v>4.632047896912147</v>
      </c>
      <c r="E33" s="74">
        <f>(C33-Budget!E19)/E31</f>
        <v>4.117623561137283</v>
      </c>
      <c r="F33" s="74">
        <f>(C33-Budget!E19)/F31</f>
        <v>3.705718553938811</v>
      </c>
      <c r="G33" s="74">
        <f>(C33-Budget!E19)/G31</f>
        <v>3.368728952348438</v>
      </c>
      <c r="H33" s="75">
        <f>(C33-Budget!E19)/H31</f>
        <v>3.0881433723404914</v>
      </c>
      <c r="J33" s="51">
        <v>-0.1</v>
      </c>
      <c r="K33" s="72">
        <f>(0.9*K34)</f>
        <v>0</v>
      </c>
      <c r="L33" s="73" t="e">
        <f>(K33-Budget!K19)/L31</f>
        <v>#DIV/0!</v>
      </c>
      <c r="M33" s="74" t="e">
        <f>(K33-Budget!K19)/M31</f>
        <v>#DIV/0!</v>
      </c>
      <c r="N33" s="74" t="e">
        <f>(K33-Budget!K19)/N31</f>
        <v>#DIV/0!</v>
      </c>
      <c r="O33" s="74" t="e">
        <f>(K33-Budget!K19)/O31</f>
        <v>#DIV/0!</v>
      </c>
      <c r="P33" s="75" t="e">
        <f>(K33-Budget!K19)/P31</f>
        <v>#DIV/0!</v>
      </c>
    </row>
    <row r="34" spans="2:16" ht="12.75">
      <c r="B34" s="6" t="s">
        <v>12</v>
      </c>
      <c r="C34" s="72">
        <f>Budget!E103</f>
        <v>475.4025158197501</v>
      </c>
      <c r="D34" s="73">
        <f>(C34-Budget!E19)/D31</f>
        <v>5.146719885457942</v>
      </c>
      <c r="E34" s="74">
        <f>(C34-Budget!E19)/E31</f>
        <v>4.5751372901525365</v>
      </c>
      <c r="F34" s="74">
        <f>(C34-Budget!E19)/F31</f>
        <v>4.117465059932012</v>
      </c>
      <c r="G34" s="74">
        <f>(C34-Budget!E19)/G31</f>
        <v>3.7430321692760415</v>
      </c>
      <c r="H34" s="75">
        <f>(C34-Budget!E19)/H31</f>
        <v>3.4312704137116565</v>
      </c>
      <c r="J34" s="6" t="s">
        <v>12</v>
      </c>
      <c r="K34" s="72">
        <f>Budget!K103</f>
        <v>0</v>
      </c>
      <c r="L34" s="73" t="e">
        <f>(K34-Budget!K19)/L31</f>
        <v>#DIV/0!</v>
      </c>
      <c r="M34" s="74" t="e">
        <f>(K34-Budget!K19)/M31</f>
        <v>#DIV/0!</v>
      </c>
      <c r="N34" s="74" t="e">
        <f>(K34-Budget!K19)/N31</f>
        <v>#DIV/0!</v>
      </c>
      <c r="O34" s="74" t="e">
        <f>(K34-Budget!K19)/O31</f>
        <v>#DIV/0!</v>
      </c>
      <c r="P34" s="75" t="e">
        <f>(K34-Budget!K19)/P31</f>
        <v>#DIV/0!</v>
      </c>
    </row>
    <row r="35" spans="2:16" ht="12.75">
      <c r="B35" s="60" t="s">
        <v>75</v>
      </c>
      <c r="C35" s="72">
        <f>(1.1*C34)</f>
        <v>522.9427674017252</v>
      </c>
      <c r="D35" s="73">
        <f>(C35-Budget!E19)/D31</f>
        <v>5.661391874003737</v>
      </c>
      <c r="E35" s="74">
        <f>(C35-Budget!E19)/E31</f>
        <v>5.032651019167791</v>
      </c>
      <c r="F35" s="74">
        <f>(C35-Budget!E19)/F31</f>
        <v>4.529211565925214</v>
      </c>
      <c r="G35" s="74">
        <f>(C35-Budget!E19)/G31</f>
        <v>4.117335386203647</v>
      </c>
      <c r="H35" s="75">
        <f>(C35-Budget!E19)/H31</f>
        <v>3.774397455082823</v>
      </c>
      <c r="J35" s="60" t="s">
        <v>75</v>
      </c>
      <c r="K35" s="72">
        <f>(1.1*K34)</f>
        <v>0</v>
      </c>
      <c r="L35" s="73" t="e">
        <f>(K35-Budget!K19)/L31</f>
        <v>#DIV/0!</v>
      </c>
      <c r="M35" s="74" t="e">
        <f>(K35-Budget!K19)/M31</f>
        <v>#DIV/0!</v>
      </c>
      <c r="N35" s="74" t="e">
        <f>(K35-Budget!K19)/N31</f>
        <v>#DIV/0!</v>
      </c>
      <c r="O35" s="74" t="e">
        <f>(K35-Budget!K19)/O31</f>
        <v>#DIV/0!</v>
      </c>
      <c r="P35" s="75" t="e">
        <f>(K35-Budget!K19)/P31</f>
        <v>#DIV/0!</v>
      </c>
    </row>
    <row r="36" spans="2:16" ht="13.5" thickBot="1">
      <c r="B36" s="51" t="s">
        <v>76</v>
      </c>
      <c r="C36" s="76">
        <f>(1.2*C34)</f>
        <v>570.4830189837</v>
      </c>
      <c r="D36" s="77">
        <f>(C36-Budget!E19)/D31</f>
        <v>6.17606386254953</v>
      </c>
      <c r="E36" s="78">
        <f>(C36-Budget!E19)/E31</f>
        <v>5.490164748183044</v>
      </c>
      <c r="F36" s="78">
        <f>(C36-Budget!E19)/F31</f>
        <v>4.940958071918414</v>
      </c>
      <c r="G36" s="78">
        <f>(C36-Budget!E19)/G31</f>
        <v>4.49163860313125</v>
      </c>
      <c r="H36" s="79">
        <f>(C36-Budget!E19)/H31</f>
        <v>4.117524496453988</v>
      </c>
      <c r="J36" s="51" t="s">
        <v>76</v>
      </c>
      <c r="K36" s="76">
        <f>(1.2*K34)</f>
        <v>0</v>
      </c>
      <c r="L36" s="77" t="e">
        <f>(K36-Budget!K19)/L31</f>
        <v>#DIV/0!</v>
      </c>
      <c r="M36" s="78" t="e">
        <f>(K36-Budget!K19)/M31</f>
        <v>#DIV/0!</v>
      </c>
      <c r="N36" s="78" t="e">
        <f>(K36-Budget!K19)/N31</f>
        <v>#DIV/0!</v>
      </c>
      <c r="O36" s="78" t="e">
        <f>(K36-Budget!K19)/O31</f>
        <v>#DIV/0!</v>
      </c>
      <c r="P36" s="79" t="e">
        <f>(K36-Budget!K19)/P31</f>
        <v>#DIV/0!</v>
      </c>
    </row>
  </sheetData>
  <sheetProtection password="C610" sheet="1"/>
  <mergeCells count="6">
    <mergeCell ref="M27:N27"/>
    <mergeCell ref="E27:F27"/>
    <mergeCell ref="E10:F10"/>
    <mergeCell ref="M10:N10"/>
    <mergeCell ref="M12:N12"/>
    <mergeCell ref="E12:F12"/>
  </mergeCells>
  <printOptions/>
  <pageMargins left="0.75" right="0.75" top="1" bottom="1" header="0.5" footer="0.5"/>
  <pageSetup horizontalDpi="600" verticalDpi="600" orientation="portrait" r:id="rId2"/>
  <ignoredErrors>
    <ignoredError sqref="B21:B30 B31:B36 G16:G17 H23:H30 J21:J30 J31:J36 H16:H17 G23:G30 O23:O30 O16:O17 P16:P17 P23:P30" numberStoredAsText="1"/>
    <ignoredError sqref="K32:K33 K35:K36 C32:C33 C35:C36 L32:P36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I24"/>
  <sheetViews>
    <sheetView zoomScale="85" zoomScaleNormal="85" zoomScalePageLayoutView="0" workbookViewId="0" topLeftCell="A1">
      <selection activeCell="H34" sqref="H34"/>
    </sheetView>
  </sheetViews>
  <sheetFormatPr defaultColWidth="9.140625" defaultRowHeight="12.75"/>
  <cols>
    <col min="1" max="1" width="24.57421875" style="0" customWidth="1"/>
    <col min="2" max="2" width="25.57421875" style="0" customWidth="1"/>
    <col min="3" max="3" width="13.140625" style="0" customWidth="1"/>
  </cols>
  <sheetData>
    <row r="8" spans="1:2" ht="15.75">
      <c r="A8" s="132" t="s">
        <v>126</v>
      </c>
      <c r="B8" s="2"/>
    </row>
    <row r="9" spans="1:2" ht="15.75">
      <c r="A9" s="132" t="s">
        <v>61</v>
      </c>
      <c r="B9" s="2"/>
    </row>
    <row r="11" spans="1:9" ht="12.75">
      <c r="A11" s="12" t="s">
        <v>17</v>
      </c>
      <c r="B11" s="12" t="s">
        <v>18</v>
      </c>
      <c r="C11" s="12" t="s">
        <v>19</v>
      </c>
      <c r="D11" s="12" t="s">
        <v>20</v>
      </c>
      <c r="E11" s="12" t="s">
        <v>21</v>
      </c>
      <c r="F11" s="12" t="s">
        <v>22</v>
      </c>
      <c r="G11" s="12" t="s">
        <v>23</v>
      </c>
      <c r="H11" s="12" t="s">
        <v>24</v>
      </c>
      <c r="I11" s="12" t="s">
        <v>25</v>
      </c>
    </row>
    <row r="12" spans="1:9" ht="12.75">
      <c r="A12" s="12"/>
      <c r="B12" s="12"/>
      <c r="C12" s="12"/>
      <c r="D12" s="12"/>
      <c r="E12" s="12"/>
      <c r="F12" s="12"/>
      <c r="G12" s="12"/>
      <c r="H12" s="12" t="s">
        <v>26</v>
      </c>
      <c r="I12" s="12" t="s">
        <v>27</v>
      </c>
    </row>
    <row r="13" spans="1:9" ht="12.75">
      <c r="A13" s="14" t="s">
        <v>110</v>
      </c>
      <c r="B13" t="s">
        <v>111</v>
      </c>
      <c r="C13" s="13">
        <v>3.92</v>
      </c>
      <c r="D13" s="13">
        <v>2.46</v>
      </c>
      <c r="E13" s="13">
        <v>1.31</v>
      </c>
      <c r="F13" s="13">
        <v>3.68</v>
      </c>
      <c r="G13" s="13">
        <v>1.62</v>
      </c>
      <c r="H13" s="3">
        <v>1</v>
      </c>
      <c r="I13" s="13">
        <f>SUM(C13:G13)*H13</f>
        <v>12.989999999999998</v>
      </c>
    </row>
    <row r="14" spans="1:9" ht="12.75">
      <c r="A14" t="s">
        <v>112</v>
      </c>
      <c r="B14" t="s">
        <v>113</v>
      </c>
      <c r="C14" s="13">
        <v>3.49</v>
      </c>
      <c r="D14" s="13">
        <v>1.93</v>
      </c>
      <c r="E14" s="13">
        <v>0.99</v>
      </c>
      <c r="F14" s="13">
        <v>1.94</v>
      </c>
      <c r="G14" s="13">
        <v>1.2</v>
      </c>
      <c r="H14" s="3">
        <v>1</v>
      </c>
      <c r="I14" s="13">
        <f>SUM(C14:G14)/H14</f>
        <v>9.549999999999999</v>
      </c>
    </row>
    <row r="15" spans="1:9" ht="12.75">
      <c r="A15" s="128" t="s">
        <v>29</v>
      </c>
      <c r="B15" t="s">
        <v>114</v>
      </c>
      <c r="C15" s="13">
        <v>5.66</v>
      </c>
      <c r="D15" s="13">
        <v>3.71</v>
      </c>
      <c r="E15" s="13">
        <v>2.08</v>
      </c>
      <c r="F15" s="13">
        <v>2.33</v>
      </c>
      <c r="G15" s="13">
        <v>2.27</v>
      </c>
      <c r="H15" s="3">
        <v>1</v>
      </c>
      <c r="I15" s="13">
        <f>SUM(C15:G15)*H15</f>
        <v>16.05</v>
      </c>
    </row>
    <row r="16" spans="1:9" ht="12.75">
      <c r="A16" t="s">
        <v>82</v>
      </c>
      <c r="B16" t="s">
        <v>115</v>
      </c>
      <c r="C16" s="13">
        <v>0.88</v>
      </c>
      <c r="D16" s="13">
        <v>0.51</v>
      </c>
      <c r="E16" s="13">
        <v>0.55</v>
      </c>
      <c r="F16" s="13">
        <v>0.42</v>
      </c>
      <c r="G16" s="13">
        <v>0.54</v>
      </c>
      <c r="H16" s="3">
        <v>1</v>
      </c>
      <c r="I16" s="13">
        <f>SUM(C16:G16)*H16</f>
        <v>2.9000000000000004</v>
      </c>
    </row>
    <row r="17" spans="1:9" ht="12.75">
      <c r="A17" t="s">
        <v>29</v>
      </c>
      <c r="B17" t="s">
        <v>116</v>
      </c>
      <c r="C17" s="13">
        <v>19.41</v>
      </c>
      <c r="D17" s="13">
        <v>9.38</v>
      </c>
      <c r="E17" s="13">
        <v>7.15</v>
      </c>
      <c r="F17" s="13">
        <v>7.41</v>
      </c>
      <c r="G17" s="13">
        <v>7</v>
      </c>
      <c r="H17" s="3">
        <v>1</v>
      </c>
      <c r="I17" s="13">
        <f>SUM(C17:G17)/H17</f>
        <v>50.349999999999994</v>
      </c>
    </row>
    <row r="18" spans="1:9" ht="12.75">
      <c r="A18" t="s">
        <v>28</v>
      </c>
      <c r="B18" t="s">
        <v>117</v>
      </c>
      <c r="C18" s="13">
        <v>1.18</v>
      </c>
      <c r="D18" s="13">
        <v>0.46</v>
      </c>
      <c r="E18" s="13">
        <v>1.21</v>
      </c>
      <c r="F18" s="13">
        <v>1.28</v>
      </c>
      <c r="G18" s="13">
        <v>0.57</v>
      </c>
      <c r="H18" s="3">
        <v>1</v>
      </c>
      <c r="I18" s="13">
        <f>SUM(C18:G18)/H18</f>
        <v>4.7</v>
      </c>
    </row>
    <row r="19" spans="1:9" ht="12.75">
      <c r="A19" t="s">
        <v>82</v>
      </c>
      <c r="B19" t="s">
        <v>118</v>
      </c>
      <c r="C19" s="13">
        <v>0.85</v>
      </c>
      <c r="D19" s="13">
        <v>0.41</v>
      </c>
      <c r="E19" s="13">
        <v>1.21</v>
      </c>
      <c r="F19" s="13">
        <v>0.93</v>
      </c>
      <c r="G19" s="13">
        <v>0.54</v>
      </c>
      <c r="H19" s="3">
        <v>1</v>
      </c>
      <c r="I19" s="13">
        <f>SUM(C19:G19)/H19</f>
        <v>3.94</v>
      </c>
    </row>
    <row r="20" spans="1:9" ht="12.75">
      <c r="A20" t="s">
        <v>82</v>
      </c>
      <c r="B20" t="s">
        <v>115</v>
      </c>
      <c r="C20" s="13">
        <v>0.88</v>
      </c>
      <c r="D20" s="13">
        <v>0.51</v>
      </c>
      <c r="E20" s="13">
        <v>0.55</v>
      </c>
      <c r="F20" s="13">
        <v>0.42</v>
      </c>
      <c r="G20" s="13">
        <v>0.54</v>
      </c>
      <c r="H20" s="3">
        <v>1</v>
      </c>
      <c r="I20" s="13">
        <f>SUM(C20:G20)*H20</f>
        <v>2.9000000000000004</v>
      </c>
    </row>
    <row r="21" spans="1:9" ht="12.75">
      <c r="A21" s="14" t="s">
        <v>119</v>
      </c>
      <c r="B21" s="128" t="s">
        <v>122</v>
      </c>
      <c r="C21" s="13">
        <v>1.98</v>
      </c>
      <c r="D21" s="13">
        <v>0.92</v>
      </c>
      <c r="E21" s="13">
        <v>0.73</v>
      </c>
      <c r="F21" s="13">
        <v>1.33</v>
      </c>
      <c r="G21" s="13">
        <v>0.83</v>
      </c>
      <c r="H21" s="3">
        <v>1</v>
      </c>
      <c r="I21" s="13">
        <f>SUM(C21:G21)*H21</f>
        <v>5.79</v>
      </c>
    </row>
    <row r="22" spans="1:9" ht="12.75">
      <c r="A22" t="s">
        <v>30</v>
      </c>
      <c r="C22" s="13" t="s">
        <v>16</v>
      </c>
      <c r="D22" s="13"/>
      <c r="E22" s="13"/>
      <c r="F22" s="13">
        <f>SUM(F13:F21)*0.15</f>
        <v>2.9610000000000003</v>
      </c>
      <c r="G22" s="13"/>
      <c r="H22" s="13"/>
      <c r="I22" s="13"/>
    </row>
    <row r="23" spans="3:9" ht="12.75">
      <c r="C23" s="13"/>
      <c r="D23" s="13"/>
      <c r="E23" s="13"/>
      <c r="F23" s="13"/>
      <c r="G23" s="13"/>
      <c r="H23" s="13"/>
      <c r="I23" s="13"/>
    </row>
    <row r="24" spans="1:9" ht="12.75">
      <c r="A24" t="s">
        <v>31</v>
      </c>
      <c r="C24" s="13">
        <f>SUM(C13:C23)</f>
        <v>38.25</v>
      </c>
      <c r="D24" s="13">
        <f>SUM(D13:D23)</f>
        <v>20.290000000000006</v>
      </c>
      <c r="E24" s="13">
        <f>SUM(E13:E23)</f>
        <v>15.780000000000001</v>
      </c>
      <c r="F24" s="13">
        <f>SUM(F13:F23)</f>
        <v>22.701</v>
      </c>
      <c r="G24" s="13">
        <f>SUM(G13:G23)</f>
        <v>15.109999999999998</v>
      </c>
      <c r="H24" s="13"/>
      <c r="I24" s="13">
        <f>SUM(C24:G24)</f>
        <v>112.13100000000001</v>
      </c>
    </row>
  </sheetData>
  <sheetProtection password="C610" sheet="1"/>
  <printOptions/>
  <pageMargins left="0.75" right="0.75" top="1" bottom="1" header="0.5" footer="0.5"/>
  <pageSetup orientation="landscape" r:id="rId2"/>
  <ignoredErrors>
    <ignoredError sqref="I1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cp:lastPrinted>2007-05-24T22:49:46Z</cp:lastPrinted>
  <dcterms:created xsi:type="dcterms:W3CDTF">2006-06-24T15:43:23Z</dcterms:created>
  <dcterms:modified xsi:type="dcterms:W3CDTF">2014-03-25T14:32:08Z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